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105" windowWidth="15105" windowHeight="9585" activeTab="0"/>
  </bookViews>
  <sheets>
    <sheet name="661 B" sheetId="1" r:id="rId1"/>
    <sheet name="663 B" sheetId="2" r:id="rId2"/>
    <sheet name="667 B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<sst xmlns="http://schemas.openxmlformats.org/spreadsheetml/2006/main" count="67" uniqueCount="25">
  <si>
    <t>HPC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</si>
  <si>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</si>
  <si>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</si>
  <si>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</si>
  <si>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</si>
  <si>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</si>
  <si>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</si>
  <si>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</si>
  <si>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</si>
  <si>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ThermCon</t>
  </si>
  <si>
    <t>k insitu</t>
  </si>
  <si>
    <t>fit</t>
  </si>
  <si>
    <t>therm res</t>
  </si>
  <si>
    <t>therm con</t>
  </si>
  <si>
    <t>A</t>
  </si>
  <si>
    <t>B</t>
  </si>
  <si>
    <t>C</t>
  </si>
  <si>
    <t>insitu corr.</t>
  </si>
  <si>
    <t>water depth (m)</t>
  </si>
  <si>
    <t>sediment dens. (g/cm3)</t>
  </si>
  <si>
    <t>T bottom water</t>
  </si>
  <si>
    <t>mean gradient</t>
  </si>
  <si>
    <t>lab T</t>
  </si>
  <si>
    <t>mbsf</t>
  </si>
  <si>
    <t>T(z)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</si>
</sst>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2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4" fillId="0" borderId="0" xfId="0" applyFont="1" applyAlignment="1">
      <alignment/>
    </xf>
    <xf numFmtId="173" fontId="5" fillId="0" borderId="0" xfId="0" applyNumberFormat="1" applyFont="1" applyAlignment="1">
      <alignment/>
    </xf>
    <xf numFmtId="173" fontId="5" fillId="2" borderId="0" xfId="0" applyNumberFormat="1" applyFont="1" applyFill="1" applyAlignment="1">
      <alignment/>
    </xf>
    <xf numFmtId="173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1.00390625" style="2" customWidth="1"/>
    <col min="4" max="4" width="11.00390625" style="13" customWidth="1"/>
    <col min="5" max="5" width="11.00390625" style="2" customWidth="1"/>
    <col min="6" max="6" width="13.375" style="3" bestFit="1" customWidth="1"/>
    <col min="7" max="16384" width="11.00390625" style="3" customWidth="1"/>
  </cols>
  <sheetData>
    <row r="1" spans="1:9" s="4" customFormat="1" ht="15.75">
      <c r="A1" s="1"/>
      <c r="B1" s="1" t="s">
        <v>0</v>
      </c>
      <c r="C1" s="2" t="s">
        <v>1</v>
      </c>
      <c r="D1" s="13"/>
      <c r="E1" s="3"/>
      <c r="F1" s="3"/>
      <c r="G1" s="2" t="s">
        <v>2</v>
      </c>
      <c r="I1" s="3" t="s">
        <v>3</v>
      </c>
    </row>
    <row r="2" spans="5:7" ht="15.75">
      <c r="E2" s="4" t="s">
        <v>4</v>
      </c>
      <c r="F2" s="5" t="s">
        <v>5</v>
      </c>
      <c r="G2" s="2"/>
    </row>
    <row r="3" spans="1:7" ht="15.75">
      <c r="A3" s="2">
        <v>0</v>
      </c>
      <c r="C3" s="2">
        <v>0</v>
      </c>
      <c r="E3" s="3"/>
      <c r="F3" s="5">
        <f>1000*1/SLOPE(C3:C9,B3:B9)</f>
        <v>66.20685612890857</v>
      </c>
      <c r="G3" s="2">
        <f>INTERCEPT(B4:B8,A4:A8)</f>
        <v>2.540000000000002</v>
      </c>
    </row>
    <row r="4" spans="1:9" ht="15.75">
      <c r="A4" s="2">
        <v>15.2</v>
      </c>
      <c r="B4" s="2">
        <v>3.45</v>
      </c>
      <c r="C4" s="2">
        <f>(A4-$A$3)/2/3*(1/($G$16*(0.6/$G$16)^$G$18)+4/($G$16*(0.6/$G$16)^($G$18*EXP(-((A4+$A$3)/2)/$G$20)))+1/($G$16*(0.6/$G$16)^($G$18*EXP(-(A4/$G$20)))))</f>
        <v>15.74731261890482</v>
      </c>
      <c r="E4" s="6"/>
      <c r="F4" s="6" t="s">
        <v>6</v>
      </c>
      <c r="I4" s="7">
        <f>SLOPE(E4:E10,A4:A10)*1000</f>
        <v>286.2530445632055</v>
      </c>
    </row>
    <row r="5" spans="1:9" ht="15.75">
      <c r="A5" s="2">
        <v>34.2</v>
      </c>
      <c r="B5" s="2">
        <v>4.9</v>
      </c>
      <c r="C5" s="2">
        <f>(A5-$A$3)/2/3*(1/($G$16*(0.6/$G$16)^$G$18)+4/($G$16*(0.6/$G$16)^($G$18*EXP(-((A5+$A$3)/2)/$G$20)))+1/($G$16*(0.6/$G$16)^($G$18*EXP(-(A5/$G$20)))))</f>
        <v>34.794102223896445</v>
      </c>
      <c r="E5" s="6">
        <f>1000*1/SLOPE(C4:C5,B4:B5)</f>
        <v>76.12831506365742</v>
      </c>
      <c r="F5" s="8">
        <f>CORREL(C3:C9,B3:B9)</f>
        <v>0.9917610541806327</v>
      </c>
      <c r="I5" s="7"/>
    </row>
    <row r="6" spans="1:5" ht="15.75">
      <c r="A6" s="2">
        <v>53.2</v>
      </c>
      <c r="B6" s="2">
        <v>5.65</v>
      </c>
      <c r="C6" s="2">
        <f>(A6-$A$3)/2/3*(1/($G$16*(0.6/$G$16)^$G$18)+4/($G$16*(0.6/$G$16)^($G$18*EXP(-((A6+$A$3)/2)/$G$20)))+1/($G$16*(0.6/$G$16)^($G$18*EXP(-(A6/$G$20)))))</f>
        <v>53.195088253472186</v>
      </c>
      <c r="E6" s="6">
        <f>1000*1/SLOPE(C5:C6,B5:B6)</f>
        <v>40.75868536580208</v>
      </c>
    </row>
    <row r="7" spans="1:6" ht="15.75">
      <c r="A7" s="2">
        <v>72.2</v>
      </c>
      <c r="B7" s="2">
        <v>7.2</v>
      </c>
      <c r="C7" s="2">
        <f>(A7-$A$3)/2/3*(1/($G$16*(0.6/$G$16)^$G$18)+4/($G$16*(0.6/$G$16)^($G$18*EXP(-((A7+$A$3)/2)/$G$20)))+1/($G$16*(0.6/$G$16)^($G$18*EXP(-(A7/$G$20)))))</f>
        <v>71.00996577403959</v>
      </c>
      <c r="E7" s="6">
        <f>1000*1/SLOPE(C6:C7,B6:B7)</f>
        <v>87.00593075705928</v>
      </c>
      <c r="F7" s="9"/>
    </row>
    <row r="8" spans="5:6" ht="15.75">
      <c r="E8" s="3"/>
      <c r="F8" s="5" t="s">
        <v>7</v>
      </c>
    </row>
    <row r="9" spans="5:6" ht="15.75">
      <c r="E9" s="3"/>
      <c r="F9" s="5">
        <f>1000*SLOPE(B3:B9,A3:A9)</f>
        <v>63.15789473684208</v>
      </c>
    </row>
    <row r="10" spans="5:6" ht="15.75">
      <c r="E10" s="3"/>
      <c r="F10" s="6" t="s">
        <v>8</v>
      </c>
    </row>
    <row r="11" spans="5:6" ht="15.75">
      <c r="E11" s="3"/>
      <c r="F11" s="8">
        <f>CORREL(B3:B9,A3:A9)</f>
        <v>0.9921083000437608</v>
      </c>
    </row>
    <row r="12" spans="3:9" ht="15.75">
      <c r="C12" s="10"/>
      <c r="D12" s="14"/>
      <c r="E12" s="10"/>
      <c r="F12" s="11"/>
      <c r="G12" s="11"/>
      <c r="H12" s="11"/>
      <c r="I12" s="11"/>
    </row>
    <row r="13" spans="1:9" s="4" customFormat="1" ht="15.75">
      <c r="A13" s="1"/>
      <c r="B13" s="1" t="s">
        <v>9</v>
      </c>
      <c r="C13" s="1" t="s">
        <v>10</v>
      </c>
      <c r="D13" s="15" t="s">
        <v>11</v>
      </c>
      <c r="E13" s="2" t="s">
        <v>12</v>
      </c>
      <c r="F13" s="3"/>
      <c r="G13" s="3" t="s">
        <v>13</v>
      </c>
      <c r="H13" s="3"/>
      <c r="I13" s="3"/>
    </row>
    <row r="14" spans="1:5" ht="15.75">
      <c r="A14" s="2">
        <v>0</v>
      </c>
      <c r="C14" s="1"/>
      <c r="D14" s="13">
        <f aca="true" t="shared" si="0" ref="D14:D29">$G$16^(1-$G$18*EXP(-A14/$G$20))*0.6^($G$18*EXP(-A14/$G$20))</f>
        <v>0.9507198763812247</v>
      </c>
      <c r="E14" s="2">
        <v>0</v>
      </c>
    </row>
    <row r="15" spans="1:7" ht="15.75">
      <c r="A15" s="2">
        <v>1.2</v>
      </c>
      <c r="B15" s="2">
        <v>0.947</v>
      </c>
      <c r="C15" s="2">
        <f aca="true" t="shared" si="1" ref="C15:C29">B15*(1+($I$26+$I$27*A15)/(1282900)+($I$28+A15*$I$29-$I$30)/400)</f>
        <v>0.9146256403793215</v>
      </c>
      <c r="D15" s="13">
        <f t="shared" si="0"/>
        <v>0.9530383974305362</v>
      </c>
      <c r="E15" s="2">
        <f>E14+(A15-A14)/D15</f>
        <v>1.2591308002230455</v>
      </c>
      <c r="G15" s="3" t="s">
        <v>14</v>
      </c>
    </row>
    <row r="16" spans="1:7" ht="15.75">
      <c r="A16" s="2">
        <v>2.8</v>
      </c>
      <c r="B16" s="2">
        <v>0.931</v>
      </c>
      <c r="C16" s="2">
        <f t="shared" si="1"/>
        <v>0.8994099100709331</v>
      </c>
      <c r="D16" s="13">
        <f t="shared" si="0"/>
        <v>0.9561241011574555</v>
      </c>
      <c r="E16" s="2">
        <f aca="true" t="shared" si="2" ref="E16:E31">E15+(A16-A15)/D16</f>
        <v>2.9325537356590283</v>
      </c>
      <c r="G16" s="3">
        <v>1.75</v>
      </c>
    </row>
    <row r="17" spans="1:7" ht="15.75">
      <c r="A17" s="2">
        <v>4.3</v>
      </c>
      <c r="B17" s="2">
        <v>0.915</v>
      </c>
      <c r="C17" s="2">
        <f t="shared" si="1"/>
        <v>0.8841714479653418</v>
      </c>
      <c r="D17" s="13">
        <f t="shared" si="0"/>
        <v>0.9590110438614023</v>
      </c>
      <c r="E17" s="2">
        <f t="shared" si="2"/>
        <v>4.4966650246806195</v>
      </c>
      <c r="G17" s="3" t="s">
        <v>15</v>
      </c>
    </row>
    <row r="18" spans="1:7" ht="15.75">
      <c r="A18" s="2">
        <v>5.8</v>
      </c>
      <c r="B18" s="2">
        <v>0.973</v>
      </c>
      <c r="C18" s="2">
        <f t="shared" si="1"/>
        <v>0.940449783533606</v>
      </c>
      <c r="D18" s="13">
        <f t="shared" si="0"/>
        <v>0.9618922396299826</v>
      </c>
      <c r="E18" s="2">
        <f t="shared" si="2"/>
        <v>6.05609126620744</v>
      </c>
      <c r="G18" s="3">
        <v>0.57</v>
      </c>
    </row>
    <row r="19" spans="1:7" ht="15.75">
      <c r="A19" s="2">
        <v>7.3</v>
      </c>
      <c r="B19" s="2">
        <v>1.029</v>
      </c>
      <c r="C19" s="2">
        <f t="shared" si="1"/>
        <v>0.9948222659468062</v>
      </c>
      <c r="D19" s="13">
        <f t="shared" si="0"/>
        <v>0.9647676567741159</v>
      </c>
      <c r="E19" s="2">
        <f t="shared" si="2"/>
        <v>7.610869755585427</v>
      </c>
      <c r="G19" s="3" t="s">
        <v>16</v>
      </c>
    </row>
    <row r="20" spans="1:7" ht="15.75">
      <c r="A20" s="2">
        <v>8.6</v>
      </c>
      <c r="B20" s="2">
        <v>1.043</v>
      </c>
      <c r="C20" s="2">
        <f t="shared" si="1"/>
        <v>1.0085732546602886</v>
      </c>
      <c r="D20" s="13">
        <f t="shared" si="0"/>
        <v>0.9672549865442007</v>
      </c>
      <c r="E20" s="2">
        <f t="shared" si="2"/>
        <v>8.954879368443178</v>
      </c>
      <c r="G20" s="3">
        <v>300</v>
      </c>
    </row>
    <row r="21" spans="1:5" ht="15.75">
      <c r="A21" s="2">
        <v>10.3</v>
      </c>
      <c r="B21" s="2">
        <v>1.575</v>
      </c>
      <c r="C21" s="2">
        <f t="shared" si="1"/>
        <v>1.5234398238981584</v>
      </c>
      <c r="D21" s="13">
        <f t="shared" si="0"/>
        <v>0.9705010306878558</v>
      </c>
      <c r="E21" s="2">
        <f t="shared" si="2"/>
        <v>10.706551902778461</v>
      </c>
    </row>
    <row r="22" spans="1:5" ht="15.75">
      <c r="A22" s="2">
        <v>12.3</v>
      </c>
      <c r="B22" s="2">
        <v>0.913</v>
      </c>
      <c r="C22" s="2">
        <f t="shared" si="1"/>
        <v>0.8834023439682299</v>
      </c>
      <c r="D22" s="13">
        <f t="shared" si="0"/>
        <v>0.9743102483646481</v>
      </c>
      <c r="E22" s="2">
        <f t="shared" si="2"/>
        <v>12.759286135387574</v>
      </c>
    </row>
    <row r="23" spans="1:5" ht="15.75">
      <c r="A23" s="2">
        <v>13.8</v>
      </c>
      <c r="B23" s="2">
        <v>0.943</v>
      </c>
      <c r="C23" s="2">
        <f t="shared" si="1"/>
        <v>0.912655129993723</v>
      </c>
      <c r="D23" s="13">
        <f t="shared" si="0"/>
        <v>0.9771602695914994</v>
      </c>
      <c r="E23" s="2">
        <f t="shared" si="2"/>
        <v>14.29434650028255</v>
      </c>
    </row>
    <row r="24" spans="1:7" ht="15.75">
      <c r="A24" s="2">
        <v>15.3</v>
      </c>
      <c r="B24" s="2">
        <v>0.947</v>
      </c>
      <c r="C24" s="2">
        <f t="shared" si="1"/>
        <v>0.9167526962203232</v>
      </c>
      <c r="D24" s="13">
        <f t="shared" si="0"/>
        <v>0.9800043507628683</v>
      </c>
      <c r="E24" s="2">
        <f t="shared" si="2"/>
        <v>15.824951949975043</v>
      </c>
      <c r="G24" s="12" t="s">
        <v>17</v>
      </c>
    </row>
    <row r="25" spans="1:5" ht="15.75">
      <c r="A25" s="2">
        <v>16.8</v>
      </c>
      <c r="B25" s="2">
        <v>0.996</v>
      </c>
      <c r="C25" s="2">
        <f t="shared" si="1"/>
        <v>0.9644256207408379</v>
      </c>
      <c r="D25" s="13">
        <f t="shared" si="0"/>
        <v>0.9828424630162773</v>
      </c>
      <c r="E25" s="2">
        <f t="shared" si="2"/>
        <v>17.351137535604504</v>
      </c>
    </row>
    <row r="26" spans="1:9" ht="15.75">
      <c r="A26" s="2">
        <v>18.3</v>
      </c>
      <c r="B26" s="2">
        <v>1.029</v>
      </c>
      <c r="C26" s="2">
        <f t="shared" si="1"/>
        <v>0.9966253578356602</v>
      </c>
      <c r="D26" s="13">
        <f t="shared" si="0"/>
        <v>0.9856745779283809</v>
      </c>
      <c r="E26" s="2">
        <f t="shared" si="2"/>
        <v>18.872937969123434</v>
      </c>
      <c r="G26" s="3" t="s">
        <v>18</v>
      </c>
      <c r="I26" s="2">
        <v>4006</v>
      </c>
    </row>
    <row r="27" spans="1:9" ht="15.75">
      <c r="A27" s="2">
        <v>19.7</v>
      </c>
      <c r="B27" s="2">
        <v>1.055</v>
      </c>
      <c r="C27" s="2">
        <f t="shared" si="1"/>
        <v>1.022042622528728</v>
      </c>
      <c r="D27" s="13">
        <f t="shared" si="0"/>
        <v>0.9883124495499817</v>
      </c>
      <c r="E27" s="2">
        <f t="shared" si="2"/>
        <v>20.289494039663147</v>
      </c>
      <c r="G27" s="3" t="s">
        <v>19</v>
      </c>
      <c r="I27" s="2">
        <v>1.8</v>
      </c>
    </row>
    <row r="28" spans="1:9" ht="15.75">
      <c r="A28" s="2">
        <v>21.8</v>
      </c>
      <c r="B28" s="2">
        <v>1.022</v>
      </c>
      <c r="C28" s="2">
        <f t="shared" si="1"/>
        <v>0.9904154017558903</v>
      </c>
      <c r="D28" s="13">
        <f t="shared" si="0"/>
        <v>0.992259366670459</v>
      </c>
      <c r="E28" s="2">
        <f t="shared" si="2"/>
        <v>22.405876177779497</v>
      </c>
      <c r="G28" s="3" t="s">
        <v>20</v>
      </c>
      <c r="I28" s="2">
        <f>B3</f>
        <v>0</v>
      </c>
    </row>
    <row r="29" spans="1:9" ht="15.75">
      <c r="A29" s="2">
        <v>23.3</v>
      </c>
      <c r="B29" s="2">
        <v>1.036</v>
      </c>
      <c r="C29" s="2">
        <f t="shared" si="1"/>
        <v>1.004230284820165</v>
      </c>
      <c r="D29" s="13">
        <f t="shared" si="0"/>
        <v>0.9950712907622407</v>
      </c>
      <c r="E29" s="2">
        <f t="shared" si="2"/>
        <v>23.91330586038141</v>
      </c>
      <c r="G29" s="3" t="s">
        <v>21</v>
      </c>
      <c r="I29" s="2">
        <f>F9/1000</f>
        <v>0.06315789473684208</v>
      </c>
    </row>
    <row r="30" spans="1:9" ht="15.75">
      <c r="A30" s="2">
        <v>24.8</v>
      </c>
      <c r="B30" s="2">
        <v>0.98</v>
      </c>
      <c r="C30" s="2">
        <f aca="true" t="shared" si="3" ref="C30:C45">B30*(1+($H$26+$H$27*A30)/(1282900)+($H$28+A30*$H$29-$H$30)/400)</f>
        <v>0.98</v>
      </c>
      <c r="D30" s="13">
        <f aca="true" t="shared" si="4" ref="D30:D45">$G$16^(1-$G$18*EXP(-A30/$G$20))*0.6^($G$18*EXP(-A30/$G$20))</f>
        <v>0.9978770993697519</v>
      </c>
      <c r="E30" s="2">
        <f t="shared" si="2"/>
        <v>25.416496985768877</v>
      </c>
      <c r="G30" s="3" t="s">
        <v>22</v>
      </c>
      <c r="I30" s="2">
        <v>15</v>
      </c>
    </row>
    <row r="31" spans="1:5" ht="15.75">
      <c r="A31" s="2">
        <v>26.3</v>
      </c>
      <c r="B31" s="2">
        <v>0.873</v>
      </c>
      <c r="C31" s="2">
        <f t="shared" si="3"/>
        <v>0.873</v>
      </c>
      <c r="D31" s="13">
        <f t="shared" si="4"/>
        <v>1.0006767663771956</v>
      </c>
      <c r="E31" s="2">
        <f t="shared" si="2"/>
        <v>26.91548252275754</v>
      </c>
    </row>
    <row r="32" spans="1:5" ht="15.75">
      <c r="A32" s="2">
        <v>27.8</v>
      </c>
      <c r="B32" s="2">
        <v>1.175</v>
      </c>
      <c r="C32" s="2">
        <f t="shared" si="3"/>
        <v>1.175</v>
      </c>
      <c r="D32" s="13">
        <f t="shared" si="4"/>
        <v>1.0034702660948327</v>
      </c>
      <c r="E32" s="2">
        <f aca="true" t="shared" si="5" ref="E32:E47">E31+(A32-A31)/D32</f>
        <v>28.41029512526493</v>
      </c>
    </row>
    <row r="33" spans="1:5" ht="15.75">
      <c r="A33" s="2">
        <v>29.3</v>
      </c>
      <c r="B33" s="2">
        <v>1.025</v>
      </c>
      <c r="C33" s="2">
        <f t="shared" si="3"/>
        <v>1.025</v>
      </c>
      <c r="D33" s="13">
        <f t="shared" si="4"/>
        <v>1.0062575732568548</v>
      </c>
      <c r="E33" s="2">
        <f t="shared" si="5"/>
        <v>29.900967135956087</v>
      </c>
    </row>
    <row r="34" spans="1:5" ht="15.75">
      <c r="A34" s="2">
        <v>29.9</v>
      </c>
      <c r="B34" s="2">
        <v>1.028</v>
      </c>
      <c r="C34" s="2">
        <f t="shared" si="3"/>
        <v>1.028</v>
      </c>
      <c r="D34" s="13">
        <f t="shared" si="4"/>
        <v>1.007370756626908</v>
      </c>
      <c r="E34" s="2">
        <f t="shared" si="5"/>
        <v>30.49657704030654</v>
      </c>
    </row>
    <row r="35" spans="1:5" ht="15.75">
      <c r="A35" s="2">
        <v>31.3</v>
      </c>
      <c r="B35" s="2">
        <v>1.056</v>
      </c>
      <c r="C35" s="2">
        <f t="shared" si="3"/>
        <v>1.056</v>
      </c>
      <c r="D35" s="13">
        <f t="shared" si="4"/>
        <v>1.0099643070621254</v>
      </c>
      <c r="E35" s="2">
        <f t="shared" si="5"/>
        <v>31.8827646414035</v>
      </c>
    </row>
    <row r="36" spans="1:5" ht="15.75">
      <c r="A36" s="2">
        <v>32.8</v>
      </c>
      <c r="B36" s="2">
        <v>1.004</v>
      </c>
      <c r="C36" s="2">
        <f t="shared" si="3"/>
        <v>1.004</v>
      </c>
      <c r="D36" s="13">
        <f t="shared" si="4"/>
        <v>1.0127370690370394</v>
      </c>
      <c r="E36" s="2">
        <f t="shared" si="5"/>
        <v>33.36389932666418</v>
      </c>
    </row>
    <row r="37" spans="1:5" ht="15.75">
      <c r="A37" s="2">
        <v>34.3</v>
      </c>
      <c r="B37" s="2">
        <v>0.984</v>
      </c>
      <c r="C37" s="2">
        <f t="shared" si="3"/>
        <v>0.984</v>
      </c>
      <c r="D37" s="13">
        <f t="shared" si="4"/>
        <v>1.0155035572710502</v>
      </c>
      <c r="E37" s="2">
        <f t="shared" si="5"/>
        <v>34.84099902686704</v>
      </c>
    </row>
    <row r="38" spans="1:5" ht="15.75">
      <c r="A38" s="2">
        <v>35.8</v>
      </c>
      <c r="B38" s="2">
        <v>1.03</v>
      </c>
      <c r="C38" s="2">
        <f t="shared" si="3"/>
        <v>1.03</v>
      </c>
      <c r="D38" s="13">
        <f t="shared" si="4"/>
        <v>1.0182637483104047</v>
      </c>
      <c r="E38" s="2">
        <f t="shared" si="5"/>
        <v>36.31409477685218</v>
      </c>
    </row>
    <row r="39" spans="1:5" ht="15.75">
      <c r="A39" s="2">
        <v>37.1</v>
      </c>
      <c r="B39" s="2">
        <v>0.921</v>
      </c>
      <c r="C39" s="2">
        <f t="shared" si="3"/>
        <v>0.921</v>
      </c>
      <c r="D39" s="13">
        <f t="shared" si="4"/>
        <v>1.0206508023268714</v>
      </c>
      <c r="E39" s="2">
        <f t="shared" si="5"/>
        <v>37.58779190914882</v>
      </c>
    </row>
    <row r="40" spans="1:5" ht="15.75">
      <c r="A40" s="2">
        <v>38.6</v>
      </c>
      <c r="B40" s="2">
        <v>0.995</v>
      </c>
      <c r="C40" s="2">
        <f t="shared" si="3"/>
        <v>0.995</v>
      </c>
      <c r="D40" s="13">
        <f t="shared" si="4"/>
        <v>1.0233991772712667</v>
      </c>
      <c r="E40" s="2">
        <f t="shared" si="5"/>
        <v>39.05349564754688</v>
      </c>
    </row>
    <row r="41" spans="1:5" ht="15.75">
      <c r="A41" s="2">
        <v>40.8</v>
      </c>
      <c r="B41" s="2">
        <v>1.041</v>
      </c>
      <c r="C41" s="2">
        <f t="shared" si="3"/>
        <v>1.041</v>
      </c>
      <c r="D41" s="13">
        <f t="shared" si="4"/>
        <v>1.0274186125954683</v>
      </c>
      <c r="E41" s="2">
        <f t="shared" si="5"/>
        <v>41.19478447863234</v>
      </c>
    </row>
    <row r="42" spans="1:5" ht="15.75">
      <c r="A42" s="2">
        <v>42.3</v>
      </c>
      <c r="B42" s="2">
        <v>0.971</v>
      </c>
      <c r="C42" s="2">
        <f t="shared" si="3"/>
        <v>0.971</v>
      </c>
      <c r="D42" s="13">
        <f t="shared" si="4"/>
        <v>1.030151254783403</v>
      </c>
      <c r="E42" s="2">
        <f t="shared" si="5"/>
        <v>42.650881331434206</v>
      </c>
    </row>
    <row r="43" spans="1:5" ht="15.75">
      <c r="A43" s="2">
        <v>43.8</v>
      </c>
      <c r="B43" s="2">
        <v>1.069</v>
      </c>
      <c r="C43" s="2">
        <f t="shared" si="3"/>
        <v>1.069</v>
      </c>
      <c r="D43" s="13">
        <f t="shared" si="4"/>
        <v>1.0328774815991237</v>
      </c>
      <c r="E43" s="2">
        <f t="shared" si="5"/>
        <v>44.103134891728374</v>
      </c>
    </row>
    <row r="44" spans="1:5" ht="15.75">
      <c r="A44" s="2">
        <v>45.3</v>
      </c>
      <c r="B44" s="2">
        <v>1.094</v>
      </c>
      <c r="C44" s="2">
        <f t="shared" si="3"/>
        <v>1.094</v>
      </c>
      <c r="D44" s="13">
        <f t="shared" si="4"/>
        <v>1.0355972721623818</v>
      </c>
      <c r="E44" s="2">
        <f t="shared" si="5"/>
        <v>45.55157439646743</v>
      </c>
    </row>
    <row r="45" spans="1:5" ht="15.75">
      <c r="A45" s="2">
        <v>46.8</v>
      </c>
      <c r="B45" s="2">
        <v>0.965</v>
      </c>
      <c r="C45" s="2">
        <f t="shared" si="3"/>
        <v>0.965</v>
      </c>
      <c r="D45" s="13">
        <f t="shared" si="4"/>
        <v>1.0383106059909617</v>
      </c>
      <c r="E45" s="2">
        <f t="shared" si="5"/>
        <v>46.996228810421336</v>
      </c>
    </row>
    <row r="46" spans="1:5" ht="15.75">
      <c r="A46" s="2">
        <v>48.3</v>
      </c>
      <c r="B46" s="2">
        <v>0.824</v>
      </c>
      <c r="C46" s="2">
        <f aca="true" t="shared" si="6" ref="C46:C61">B46*(1+($H$26+$H$27*A46)/(1282900)+($H$28+A46*$H$29-$H$30)/400)</f>
        <v>0.824</v>
      </c>
      <c r="D46" s="13">
        <f aca="true" t="shared" si="7" ref="D46:D61">$G$16^(1-$G$18*EXP(-A46/$G$20))*0.6^($G$18*EXP(-A46/$G$20))</f>
        <v>1.0410174629983806</v>
      </c>
      <c r="E46" s="2">
        <f t="shared" si="5"/>
        <v>48.43712682924961</v>
      </c>
    </row>
    <row r="47" spans="1:5" ht="15.75">
      <c r="A47" s="2">
        <v>50.3</v>
      </c>
      <c r="B47" s="2">
        <v>1.099</v>
      </c>
      <c r="C47" s="2">
        <f t="shared" si="6"/>
        <v>1.099</v>
      </c>
      <c r="D47" s="13">
        <f t="shared" si="7"/>
        <v>1.044616496638793</v>
      </c>
      <c r="E47" s="2">
        <f t="shared" si="5"/>
        <v>50.35170505622122</v>
      </c>
    </row>
    <row r="48" spans="1:5" ht="15.75">
      <c r="A48" s="2">
        <v>51.8</v>
      </c>
      <c r="B48" s="2">
        <v>1.042</v>
      </c>
      <c r="C48" s="2">
        <f t="shared" si="6"/>
        <v>1.042</v>
      </c>
      <c r="D48" s="13">
        <f t="shared" si="7"/>
        <v>1.0473081651550415</v>
      </c>
      <c r="E48" s="2">
        <f aca="true" t="shared" si="8" ref="E48:E62">E47+(A48-A47)/D48</f>
        <v>51.78394825827622</v>
      </c>
    </row>
    <row r="49" spans="1:5" ht="15.75">
      <c r="A49" s="2">
        <v>53.3</v>
      </c>
      <c r="B49" s="2">
        <v>1.132</v>
      </c>
      <c r="C49" s="2">
        <f t="shared" si="6"/>
        <v>1.132</v>
      </c>
      <c r="D49" s="13">
        <f t="shared" si="7"/>
        <v>1.0499932927235491</v>
      </c>
      <c r="E49" s="2">
        <f t="shared" si="8"/>
        <v>53.212528812452135</v>
      </c>
    </row>
    <row r="50" spans="1:5" ht="15.75">
      <c r="A50" s="2">
        <v>54.8</v>
      </c>
      <c r="B50" s="2">
        <v>1.103</v>
      </c>
      <c r="C50" s="2">
        <f t="shared" si="6"/>
        <v>1.103</v>
      </c>
      <c r="D50" s="13">
        <f t="shared" si="7"/>
        <v>1.0526718609458774</v>
      </c>
      <c r="E50" s="2">
        <f t="shared" si="8"/>
        <v>54.63747428278339</v>
      </c>
    </row>
    <row r="51" spans="1:5" ht="15.75">
      <c r="A51" s="2">
        <v>56.3</v>
      </c>
      <c r="B51" s="2">
        <v>1.088</v>
      </c>
      <c r="C51" s="2">
        <f t="shared" si="6"/>
        <v>1.088</v>
      </c>
      <c r="D51" s="13">
        <f t="shared" si="7"/>
        <v>1.0553438518069014</v>
      </c>
      <c r="E51" s="2">
        <f t="shared" si="8"/>
        <v>56.05881197990626</v>
      </c>
    </row>
    <row r="52" spans="1:5" ht="15.75">
      <c r="A52" s="2">
        <v>57.8</v>
      </c>
      <c r="B52" s="2">
        <v>1.161</v>
      </c>
      <c r="C52" s="2">
        <f t="shared" si="6"/>
        <v>1.161</v>
      </c>
      <c r="D52" s="13">
        <f t="shared" si="7"/>
        <v>1.0580092476724499</v>
      </c>
      <c r="E52" s="2">
        <f t="shared" si="8"/>
        <v>57.47656896388339</v>
      </c>
    </row>
    <row r="53" spans="1:5" ht="15.75">
      <c r="A53" s="2">
        <v>59.8</v>
      </c>
      <c r="B53" s="2">
        <v>1.114</v>
      </c>
      <c r="C53" s="2">
        <f t="shared" si="6"/>
        <v>1.114</v>
      </c>
      <c r="D53" s="13">
        <f t="shared" si="7"/>
        <v>1.061552820174439</v>
      </c>
      <c r="E53" s="2">
        <f t="shared" si="8"/>
        <v>59.36060145100103</v>
      </c>
    </row>
    <row r="54" spans="1:5" ht="15.75">
      <c r="A54" s="2">
        <v>61.3</v>
      </c>
      <c r="B54" s="2">
        <v>1.182</v>
      </c>
      <c r="C54" s="2">
        <f t="shared" si="6"/>
        <v>1.182</v>
      </c>
      <c r="D54" s="13">
        <f t="shared" si="7"/>
        <v>1.064202761262093</v>
      </c>
      <c r="E54" s="2">
        <f t="shared" si="8"/>
        <v>60.77010728447686</v>
      </c>
    </row>
    <row r="55" spans="1:5" ht="15.75">
      <c r="A55" s="2">
        <v>62.6</v>
      </c>
      <c r="B55" s="2">
        <v>1.113</v>
      </c>
      <c r="C55" s="2">
        <f t="shared" si="6"/>
        <v>1.113</v>
      </c>
      <c r="D55" s="13">
        <f t="shared" si="7"/>
        <v>1.0664939974861718</v>
      </c>
      <c r="E55" s="2">
        <f t="shared" si="8"/>
        <v>61.98905460444699</v>
      </c>
    </row>
    <row r="56" spans="1:5" ht="15.75">
      <c r="A56" s="2">
        <v>64.1</v>
      </c>
      <c r="B56" s="2">
        <v>1.086</v>
      </c>
      <c r="C56" s="2">
        <f t="shared" si="6"/>
        <v>1.086</v>
      </c>
      <c r="D56" s="13">
        <f t="shared" si="7"/>
        <v>1.0691315103067447</v>
      </c>
      <c r="E56" s="2">
        <f t="shared" si="8"/>
        <v>63.39206254644435</v>
      </c>
    </row>
    <row r="57" spans="1:5" ht="15.75">
      <c r="A57" s="2">
        <v>65.6</v>
      </c>
      <c r="B57" s="2">
        <v>1.165</v>
      </c>
      <c r="C57" s="2">
        <f t="shared" si="6"/>
        <v>1.165</v>
      </c>
      <c r="D57" s="13">
        <f t="shared" si="7"/>
        <v>1.0717623424833902</v>
      </c>
      <c r="E57" s="2">
        <f t="shared" si="8"/>
        <v>64.7916265547527</v>
      </c>
    </row>
    <row r="58" spans="1:5" ht="15.75">
      <c r="A58" s="2">
        <v>67.1</v>
      </c>
      <c r="B58" s="2">
        <v>1.005</v>
      </c>
      <c r="C58" s="2">
        <f t="shared" si="6"/>
        <v>1.005</v>
      </c>
      <c r="D58" s="13">
        <f t="shared" si="7"/>
        <v>1.074386478690818</v>
      </c>
      <c r="E58" s="2">
        <f t="shared" si="8"/>
        <v>66.1877721967081</v>
      </c>
    </row>
    <row r="59" spans="1:5" ht="15.75">
      <c r="A59" s="2">
        <v>69.1</v>
      </c>
      <c r="B59" s="2">
        <v>1.169</v>
      </c>
      <c r="C59" s="2">
        <f t="shared" si="6"/>
        <v>1.169</v>
      </c>
      <c r="D59" s="13">
        <f t="shared" si="7"/>
        <v>1.0778748852079683</v>
      </c>
      <c r="E59" s="2">
        <f t="shared" si="8"/>
        <v>68.04327511958593</v>
      </c>
    </row>
    <row r="60" spans="1:5" ht="15.75">
      <c r="A60" s="2">
        <v>70.6</v>
      </c>
      <c r="B60" s="2">
        <v>1.131</v>
      </c>
      <c r="C60" s="2">
        <f t="shared" si="6"/>
        <v>1.131</v>
      </c>
      <c r="D60" s="13">
        <f t="shared" si="7"/>
        <v>1.0804833399278202</v>
      </c>
      <c r="E60" s="2">
        <f t="shared" si="8"/>
        <v>69.43154270740473</v>
      </c>
    </row>
    <row r="61" spans="1:5" ht="15.75">
      <c r="A61" s="2">
        <v>72.1</v>
      </c>
      <c r="B61" s="2">
        <v>1.176</v>
      </c>
      <c r="C61" s="2">
        <f t="shared" si="6"/>
        <v>1.176</v>
      </c>
      <c r="D61" s="13">
        <f t="shared" si="7"/>
        <v>1.0830850502079226</v>
      </c>
      <c r="E61" s="2">
        <f t="shared" si="8"/>
        <v>70.81647549704303</v>
      </c>
    </row>
    <row r="62" spans="1:5" ht="15.75">
      <c r="A62" s="2">
        <v>73.6</v>
      </c>
      <c r="B62" s="2">
        <v>1.078</v>
      </c>
      <c r="C62" s="2">
        <f>B62*(1+($H$26+$H$27*A62)/(1282900)+($H$28+A62*$H$29-$H$30)/400)</f>
        <v>1.078</v>
      </c>
      <c r="D62" s="13">
        <f>$G$16^(1-$G$18*EXP(-A62/$G$20))*0.6^($G$18*EXP(-A62/$G$20))</f>
        <v>1.0856800022819486</v>
      </c>
      <c r="E62" s="2">
        <f t="shared" si="8"/>
        <v>72.19809807169413</v>
      </c>
    </row>
    <row r="63" ht="15.75">
      <c r="E63" s="3"/>
    </row>
    <row r="64" ht="15.75">
      <c r="E64" s="3"/>
    </row>
    <row r="65" ht="15.75">
      <c r="E65" s="3"/>
    </row>
    <row r="66" ht="15.75">
      <c r="E66" s="3"/>
    </row>
    <row r="67" ht="15.75">
      <c r="E67" s="3"/>
    </row>
    <row r="68" ht="15.75">
      <c r="E68" s="3"/>
    </row>
    <row r="69" ht="15.75">
      <c r="E69" s="3"/>
    </row>
    <row r="70" ht="15.75">
      <c r="E70" s="3"/>
    </row>
    <row r="71" ht="15.75">
      <c r="E71" s="3"/>
    </row>
    <row r="72" ht="15.75">
      <c r="E72" s="3"/>
    </row>
    <row r="73" ht="15.75">
      <c r="E73" s="3"/>
    </row>
    <row r="74" ht="15.75">
      <c r="E74" s="3"/>
    </row>
    <row r="75" ht="15.75">
      <c r="E75" s="3"/>
    </row>
    <row r="76" ht="15.75">
      <c r="E76" s="3"/>
    </row>
    <row r="77" ht="15.75">
      <c r="E77" s="3"/>
    </row>
    <row r="78" ht="15.75">
      <c r="E78" s="3"/>
    </row>
    <row r="79" ht="15.75">
      <c r="E79" s="3"/>
    </row>
    <row r="80" ht="15.75">
      <c r="E80" s="3"/>
    </row>
    <row r="81" ht="15.75">
      <c r="E81" s="3"/>
    </row>
    <row r="82" ht="15.75">
      <c r="E82" s="3"/>
    </row>
    <row r="83" ht="15.75">
      <c r="E83" s="3"/>
    </row>
    <row r="84" ht="15.75">
      <c r="E84" s="3"/>
    </row>
    <row r="85" ht="15.75">
      <c r="E85" s="3"/>
    </row>
    <row r="86" ht="15.75">
      <c r="E86" s="3"/>
    </row>
    <row r="87" ht="15.75">
      <c r="E87" s="3"/>
    </row>
    <row r="88" ht="15.75">
      <c r="E88" s="3"/>
    </row>
    <row r="89" ht="15.75">
      <c r="E89" s="3"/>
    </row>
    <row r="90" ht="15.75">
      <c r="E90" s="3"/>
    </row>
    <row r="91" ht="15.75">
      <c r="E91" s="3"/>
    </row>
    <row r="92" ht="15.75">
      <c r="E92" s="3"/>
    </row>
    <row r="93" ht="15.75">
      <c r="E93" s="3"/>
    </row>
    <row r="94" ht="15.75">
      <c r="E94" s="3"/>
    </row>
    <row r="95" ht="15.75">
      <c r="E95" s="3"/>
    </row>
    <row r="96" ht="15.75">
      <c r="E96" s="3"/>
    </row>
    <row r="97" ht="15.75">
      <c r="E97" s="3"/>
    </row>
    <row r="98" ht="15.75">
      <c r="E98" s="3"/>
    </row>
    <row r="99" ht="15.75">
      <c r="E99" s="3"/>
    </row>
    <row r="100" ht="15.75">
      <c r="E100" s="3"/>
    </row>
    <row r="101" ht="15.75">
      <c r="E101" s="3"/>
    </row>
    <row r="102" ht="15.75">
      <c r="E102" s="3"/>
    </row>
    <row r="103" ht="15.75">
      <c r="E103" s="3"/>
    </row>
    <row r="104" ht="15.75">
      <c r="E104" s="3"/>
    </row>
    <row r="105" ht="15.75">
      <c r="E105" s="3"/>
    </row>
    <row r="106" ht="15.75">
      <c r="E106" s="3"/>
    </row>
    <row r="107" ht="15.75">
      <c r="E107" s="3"/>
    </row>
    <row r="108" ht="15.75">
      <c r="E108" s="3"/>
    </row>
    <row r="109" ht="15.75">
      <c r="E109" s="3"/>
    </row>
    <row r="110" ht="15.75">
      <c r="E110" s="3"/>
    </row>
    <row r="111" ht="15.75">
      <c r="E111" s="3"/>
    </row>
    <row r="112" ht="15.75">
      <c r="E112" s="3"/>
    </row>
    <row r="113" ht="15.75">
      <c r="E113" s="3"/>
    </row>
    <row r="114" ht="15.75">
      <c r="E114" s="3"/>
    </row>
    <row r="115" ht="15.75">
      <c r="E115" s="3"/>
    </row>
    <row r="116" ht="15.75">
      <c r="E116" s="3"/>
    </row>
    <row r="117" ht="15.75">
      <c r="E117" s="3"/>
    </row>
    <row r="118" ht="15.75">
      <c r="E118" s="3"/>
    </row>
    <row r="119" ht="15.75">
      <c r="E119" s="3"/>
    </row>
    <row r="120" ht="15.75">
      <c r="E120" s="3"/>
    </row>
    <row r="121" ht="15.75">
      <c r="E121" s="3"/>
    </row>
    <row r="122" ht="15.75">
      <c r="E122" s="3"/>
    </row>
    <row r="123" ht="15.75">
      <c r="E123" s="3"/>
    </row>
    <row r="124" ht="15.75">
      <c r="E124" s="3"/>
    </row>
    <row r="125" ht="15.75">
      <c r="E125" s="3"/>
    </row>
    <row r="126" ht="15.75">
      <c r="E126" s="3"/>
    </row>
    <row r="127" ht="15.75">
      <c r="E127" s="3"/>
    </row>
    <row r="128" ht="15.75">
      <c r="E128" s="3"/>
    </row>
    <row r="129" ht="15.75">
      <c r="E129" s="3"/>
    </row>
    <row r="130" ht="15.75">
      <c r="E130" s="3"/>
    </row>
    <row r="131" ht="15.75">
      <c r="E131" s="3"/>
    </row>
    <row r="132" ht="15.75">
      <c r="E132" s="3"/>
    </row>
    <row r="133" ht="15.75">
      <c r="E133" s="3"/>
    </row>
    <row r="134" ht="15.75">
      <c r="E134" s="3"/>
    </row>
    <row r="135" ht="15.75">
      <c r="E135" s="3"/>
    </row>
    <row r="136" ht="15.75">
      <c r="E136" s="3"/>
    </row>
    <row r="137" ht="15.75">
      <c r="E137" s="3"/>
    </row>
    <row r="138" ht="15.75">
      <c r="E138" s="3"/>
    </row>
    <row r="139" ht="15.75">
      <c r="E139" s="3"/>
    </row>
    <row r="140" ht="15.75">
      <c r="E140" s="3"/>
    </row>
    <row r="141" ht="15.75">
      <c r="E141" s="3"/>
    </row>
    <row r="142" ht="15.75">
      <c r="E142" s="3"/>
    </row>
    <row r="143" ht="15.75">
      <c r="E143" s="3"/>
    </row>
    <row r="144" ht="15.75">
      <c r="E144" s="3"/>
    </row>
    <row r="145" ht="15.75">
      <c r="E145" s="3"/>
    </row>
    <row r="146" ht="15.75">
      <c r="E146" s="3"/>
    </row>
    <row r="147" ht="15.75">
      <c r="E147" s="3"/>
    </row>
    <row r="148" ht="15.75">
      <c r="E148" s="3"/>
    </row>
    <row r="149" ht="15.75">
      <c r="E149" s="3"/>
    </row>
    <row r="150" ht="15.75">
      <c r="E150" s="3"/>
    </row>
    <row r="151" ht="15.75">
      <c r="E151" s="3"/>
    </row>
    <row r="152" ht="15.75">
      <c r="E152" s="3"/>
    </row>
    <row r="153" ht="15.75">
      <c r="E153" s="3"/>
    </row>
    <row r="154" ht="15.75">
      <c r="E154" s="3"/>
    </row>
    <row r="155" ht="15.75">
      <c r="E155" s="3"/>
    </row>
    <row r="156" ht="15.75">
      <c r="E156" s="3"/>
    </row>
    <row r="157" ht="15.75">
      <c r="E157" s="3"/>
    </row>
    <row r="158" ht="15.75">
      <c r="E158" s="3"/>
    </row>
    <row r="159" ht="15.75">
      <c r="E159" s="3"/>
    </row>
    <row r="160" ht="15.75">
      <c r="E160" s="3"/>
    </row>
    <row r="161" ht="15.75">
      <c r="E161" s="3"/>
    </row>
    <row r="162" ht="15.75">
      <c r="E162" s="3"/>
    </row>
    <row r="163" ht="15.75">
      <c r="E163" s="3"/>
    </row>
    <row r="164" ht="15.75">
      <c r="E164" s="3"/>
    </row>
    <row r="165" ht="15.75">
      <c r="E165" s="3"/>
    </row>
    <row r="166" ht="15.75">
      <c r="E166" s="3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2" customWidth="1"/>
    <col min="4" max="4" width="11.00390625" style="13" customWidth="1"/>
    <col min="5" max="5" width="11.00390625" style="2" customWidth="1"/>
    <col min="6" max="6" width="13.375" style="3" bestFit="1" customWidth="1"/>
    <col min="7" max="16384" width="11.00390625" style="3" customWidth="1"/>
  </cols>
  <sheetData>
    <row r="1" spans="1:9" s="4" customFormat="1" ht="15.75">
      <c r="A1" s="1"/>
      <c r="B1" s="1" t="s">
        <v>0</v>
      </c>
      <c r="C1" s="2" t="s">
        <v>1</v>
      </c>
      <c r="D1" s="13"/>
      <c r="E1" s="3"/>
      <c r="F1" s="3"/>
      <c r="G1" s="2" t="s">
        <v>2</v>
      </c>
      <c r="I1" s="3" t="s">
        <v>3</v>
      </c>
    </row>
    <row r="2" spans="5:7" ht="15.75">
      <c r="E2" s="4" t="s">
        <v>4</v>
      </c>
      <c r="F2" s="5" t="s">
        <v>5</v>
      </c>
      <c r="G2" s="2"/>
    </row>
    <row r="3" spans="1:7" ht="15.75">
      <c r="A3" s="2">
        <v>0</v>
      </c>
      <c r="C3" s="2">
        <v>0</v>
      </c>
      <c r="E3" s="3"/>
      <c r="F3" s="5">
        <f>1000*1/SLOPE(C3:C9,B3:B9)</f>
        <v>49.92272974482185</v>
      </c>
      <c r="G3" s="2">
        <f>INTERCEPT(B4:B6,A4:A6)</f>
        <v>2.216666666666667</v>
      </c>
    </row>
    <row r="4" spans="1:9" ht="15.75">
      <c r="A4" s="2">
        <v>50</v>
      </c>
      <c r="B4" s="2">
        <v>4.3</v>
      </c>
      <c r="C4" s="2">
        <f>LN($G$18+$G$20*A4)/$G$20-LN($G$18)/$G$20</f>
        <v>50.84773919056927</v>
      </c>
      <c r="E4" s="6"/>
      <c r="F4" s="6" t="s">
        <v>6</v>
      </c>
      <c r="I4" s="7">
        <f>SLOPE(E4:E10,A4:A10)*1000</f>
        <v>859.789575319418</v>
      </c>
    </row>
    <row r="5" spans="1:9" ht="15.75">
      <c r="A5" s="2">
        <v>80</v>
      </c>
      <c r="B5" s="2">
        <v>5.25</v>
      </c>
      <c r="C5" s="2">
        <f>LN($G$18+$G$20*A5)/$G$20-LN($G$18)/$G$20</f>
        <v>76.6451259362595</v>
      </c>
      <c r="E5" s="6">
        <f>1000*1/SLOPE(C4:C5,B4:B5)</f>
        <v>36.825435435187806</v>
      </c>
      <c r="F5" s="8">
        <f>CORREL(C3:C9,B3:B9)</f>
        <v>0.9886436956555834</v>
      </c>
      <c r="I5" s="7"/>
    </row>
    <row r="6" spans="1:5" ht="15.75">
      <c r="A6" s="2">
        <v>110</v>
      </c>
      <c r="B6" s="2">
        <v>6.7</v>
      </c>
      <c r="C6" s="2">
        <f>LN($G$18+$G$20*A6)/$G$20-LN($G$18)/$G$20</f>
        <v>99.8009917101678</v>
      </c>
      <c r="E6" s="6">
        <f>1000*1/SLOPE(C5:C6,B5:B6)</f>
        <v>62.6191226947704</v>
      </c>
    </row>
    <row r="7" spans="5:6" ht="15.75">
      <c r="E7" s="3"/>
      <c r="F7" s="9"/>
    </row>
    <row r="8" spans="5:6" ht="15.75">
      <c r="E8" s="3"/>
      <c r="F8" s="5" t="s">
        <v>7</v>
      </c>
    </row>
    <row r="9" spans="5:6" ht="15.75">
      <c r="E9" s="3"/>
      <c r="F9" s="5">
        <f>1000*SLOPE(B3:B9,A3:A9)</f>
        <v>40</v>
      </c>
    </row>
    <row r="10" spans="5:6" ht="15.75">
      <c r="E10" s="3"/>
      <c r="F10" s="6" t="s">
        <v>8</v>
      </c>
    </row>
    <row r="11" spans="5:6" ht="15.75">
      <c r="E11" s="3"/>
      <c r="F11" s="8">
        <f>CORREL(B3:B9,A3:A9)</f>
        <v>0.9928437609208931</v>
      </c>
    </row>
    <row r="12" spans="5:6" ht="15.75">
      <c r="E12" s="3"/>
      <c r="F12" s="8"/>
    </row>
    <row r="13" spans="5:6" ht="15.75">
      <c r="E13" s="3"/>
      <c r="F13" s="8"/>
    </row>
    <row r="14" spans="3:9" ht="15.75">
      <c r="C14" s="10"/>
      <c r="D14" s="14"/>
      <c r="E14" s="10"/>
      <c r="F14" s="11"/>
      <c r="G14" s="11"/>
      <c r="H14" s="11"/>
      <c r="I14" s="11"/>
    </row>
    <row r="15" spans="1:9" s="4" customFormat="1" ht="15.75">
      <c r="A15" s="1"/>
      <c r="B15" s="1" t="s">
        <v>9</v>
      </c>
      <c r="C15" s="1" t="s">
        <v>10</v>
      </c>
      <c r="D15" s="15" t="s">
        <v>11</v>
      </c>
      <c r="E15" s="2" t="s">
        <v>12</v>
      </c>
      <c r="F15" s="3"/>
      <c r="G15" s="3" t="s">
        <v>13</v>
      </c>
      <c r="H15" s="3"/>
      <c r="I15" s="3"/>
    </row>
    <row r="16" spans="1:5" ht="15.75">
      <c r="A16" s="16">
        <v>0</v>
      </c>
      <c r="B16" s="1"/>
      <c r="C16" s="1"/>
      <c r="D16" s="13">
        <f>G$18+G$20*A16</f>
        <v>0.8770168813976195</v>
      </c>
      <c r="E16" s="2">
        <v>0</v>
      </c>
    </row>
    <row r="17" spans="1:7" ht="15.75">
      <c r="A17" s="2">
        <v>2.5</v>
      </c>
      <c r="B17" s="2">
        <v>1.029</v>
      </c>
      <c r="C17" s="2">
        <f aca="true" t="shared" si="0" ref="C17:C32">B17*(1+($I$28+$I$29*A17)/(1282900)+($I$30+A17*$I$31-$I$32)/400)</f>
        <v>0.9936459012978408</v>
      </c>
      <c r="D17" s="13">
        <f aca="true" t="shared" si="1" ref="D17:D32">G$18+G$20*A17</f>
        <v>0.8880611117206139</v>
      </c>
      <c r="E17" s="2">
        <f>E16+(A17-A16)/D17</f>
        <v>2.8151215800411107</v>
      </c>
      <c r="G17" s="3" t="s">
        <v>14</v>
      </c>
    </row>
    <row r="18" spans="1:7" ht="15.75">
      <c r="A18" s="2">
        <v>4</v>
      </c>
      <c r="B18" s="2">
        <v>0.984</v>
      </c>
      <c r="C18" s="2">
        <f t="shared" si="0"/>
        <v>0.9503416698417646</v>
      </c>
      <c r="D18" s="13">
        <f t="shared" si="1"/>
        <v>0.8946876499144105</v>
      </c>
      <c r="E18" s="2">
        <f aca="true" t="shared" si="2" ref="E18:E33">E17+(A18-A17)/D18</f>
        <v>4.49168434487138</v>
      </c>
      <c r="G18" s="2">
        <f>INTERCEPT(C16:C1001,A16:A1001)</f>
        <v>0.8770168813976195</v>
      </c>
    </row>
    <row r="19" spans="1:7" ht="15.75">
      <c r="A19" s="2">
        <v>5.5</v>
      </c>
      <c r="B19" s="2">
        <v>0.878</v>
      </c>
      <c r="C19" s="2">
        <f t="shared" si="0"/>
        <v>0.8481010134149193</v>
      </c>
      <c r="D19" s="13">
        <f t="shared" si="1"/>
        <v>0.9013141881082072</v>
      </c>
      <c r="E19" s="2">
        <f t="shared" si="2"/>
        <v>6.155920878358543</v>
      </c>
      <c r="G19" s="3" t="s">
        <v>15</v>
      </c>
    </row>
    <row r="20" spans="1:7" ht="15.75">
      <c r="A20" s="2">
        <v>7</v>
      </c>
      <c r="B20" s="2">
        <v>1.071</v>
      </c>
      <c r="C20" s="2">
        <f t="shared" si="0"/>
        <v>1.0346915889625068</v>
      </c>
      <c r="D20" s="13">
        <f t="shared" si="1"/>
        <v>0.9079407263020038</v>
      </c>
      <c r="E20" s="2">
        <f t="shared" si="2"/>
        <v>7.808011104676976</v>
      </c>
      <c r="G20" s="17">
        <f>SLOPE(C16:C1001,A16:A1001)</f>
        <v>0.0044176921291977705</v>
      </c>
    </row>
    <row r="21" spans="1:5" ht="15.75">
      <c r="A21" s="2">
        <v>8.5</v>
      </c>
      <c r="B21" s="2">
        <v>0.761</v>
      </c>
      <c r="C21" s="2">
        <f t="shared" si="0"/>
        <v>0.7353167779367059</v>
      </c>
      <c r="D21" s="13">
        <f t="shared" si="1"/>
        <v>0.9145672644958005</v>
      </c>
      <c r="E21" s="2">
        <f t="shared" si="2"/>
        <v>9.448131037054992</v>
      </c>
    </row>
    <row r="22" spans="1:5" ht="15.75">
      <c r="A22" s="2">
        <v>12</v>
      </c>
      <c r="B22" s="2">
        <v>1.042</v>
      </c>
      <c r="C22" s="2">
        <f t="shared" si="0"/>
        <v>1.0072030398784004</v>
      </c>
      <c r="D22" s="13">
        <f t="shared" si="1"/>
        <v>0.9300291869479927</v>
      </c>
      <c r="E22" s="2">
        <f t="shared" si="2"/>
        <v>13.211453789844814</v>
      </c>
    </row>
    <row r="23" spans="1:5" ht="15.75">
      <c r="A23" s="2">
        <v>13.5</v>
      </c>
      <c r="B23" s="2">
        <v>0.967</v>
      </c>
      <c r="C23" s="2">
        <f t="shared" si="0"/>
        <v>0.934854704696391</v>
      </c>
      <c r="D23" s="13">
        <f t="shared" si="1"/>
        <v>0.9366557251417894</v>
      </c>
      <c r="E23" s="2">
        <f t="shared" si="2"/>
        <v>14.812895984385325</v>
      </c>
    </row>
    <row r="24" spans="1:5" ht="15.75">
      <c r="A24" s="2">
        <v>15</v>
      </c>
      <c r="B24" s="2">
        <v>0.989</v>
      </c>
      <c r="C24" s="2">
        <f t="shared" si="0"/>
        <v>0.9562738057525917</v>
      </c>
      <c r="D24" s="13">
        <f t="shared" si="1"/>
        <v>0.9432822633355861</v>
      </c>
      <c r="E24" s="2">
        <f t="shared" si="2"/>
        <v>16.40308808096496</v>
      </c>
    </row>
    <row r="25" spans="1:5" ht="15.75">
      <c r="A25" s="2">
        <v>16.5</v>
      </c>
      <c r="B25" s="2">
        <v>0.919</v>
      </c>
      <c r="C25" s="2">
        <f t="shared" si="0"/>
        <v>0.8887299029269624</v>
      </c>
      <c r="D25" s="13">
        <f t="shared" si="1"/>
        <v>0.9499088015293826</v>
      </c>
      <c r="E25" s="2">
        <f t="shared" si="2"/>
        <v>17.98218704034396</v>
      </c>
    </row>
    <row r="26" spans="1:7" ht="15.75">
      <c r="A26" s="2">
        <v>18</v>
      </c>
      <c r="B26" s="2">
        <v>0.952</v>
      </c>
      <c r="C26" s="2">
        <f t="shared" si="0"/>
        <v>0.9207877498168212</v>
      </c>
      <c r="D26" s="13">
        <f t="shared" si="1"/>
        <v>0.9565353397231793</v>
      </c>
      <c r="E26" s="2">
        <f t="shared" si="2"/>
        <v>19.55034656117682</v>
      </c>
      <c r="G26" s="12" t="s">
        <v>17</v>
      </c>
    </row>
    <row r="27" spans="1:5" ht="15.75">
      <c r="A27" s="2">
        <v>21.5</v>
      </c>
      <c r="B27" s="2">
        <v>0.927</v>
      </c>
      <c r="C27" s="2">
        <f t="shared" si="0"/>
        <v>0.8969364015083016</v>
      </c>
      <c r="D27" s="13">
        <f t="shared" si="1"/>
        <v>0.9719972621753715</v>
      </c>
      <c r="E27" s="2">
        <f t="shared" si="2"/>
        <v>23.15117974888236</v>
      </c>
    </row>
    <row r="28" spans="1:9" ht="15.75">
      <c r="A28" s="2">
        <v>23</v>
      </c>
      <c r="B28" s="2">
        <v>0.985</v>
      </c>
      <c r="C28" s="2">
        <f t="shared" si="0"/>
        <v>0.9532052226985734</v>
      </c>
      <c r="D28" s="13">
        <f t="shared" si="1"/>
        <v>0.9786238003691682</v>
      </c>
      <c r="E28" s="2">
        <f t="shared" si="2"/>
        <v>24.683944432751844</v>
      </c>
      <c r="G28" s="3" t="s">
        <v>18</v>
      </c>
      <c r="I28" s="2">
        <v>3706</v>
      </c>
    </row>
    <row r="29" spans="1:9" ht="15.75">
      <c r="A29" s="2">
        <v>24.5</v>
      </c>
      <c r="B29" s="2">
        <v>1.025</v>
      </c>
      <c r="C29" s="2">
        <f t="shared" si="0"/>
        <v>0.9920699714513991</v>
      </c>
      <c r="D29" s="13">
        <f t="shared" si="1"/>
        <v>0.9852503385629648</v>
      </c>
      <c r="E29" s="2">
        <f t="shared" si="2"/>
        <v>26.206400138971464</v>
      </c>
      <c r="G29" s="3" t="s">
        <v>19</v>
      </c>
      <c r="I29" s="2">
        <v>1.8</v>
      </c>
    </row>
    <row r="30" spans="1:9" ht="15.75">
      <c r="A30" s="2">
        <v>26</v>
      </c>
      <c r="B30" s="2">
        <v>0.936</v>
      </c>
      <c r="C30" s="2">
        <f t="shared" si="0"/>
        <v>0.9060716316470496</v>
      </c>
      <c r="D30" s="13">
        <f t="shared" si="1"/>
        <v>0.9918768767567615</v>
      </c>
      <c r="E30" s="2">
        <f t="shared" si="2"/>
        <v>27.71868461212573</v>
      </c>
      <c r="G30" s="3" t="s">
        <v>20</v>
      </c>
      <c r="I30" s="2">
        <f>B3</f>
        <v>0</v>
      </c>
    </row>
    <row r="31" spans="1:9" ht="15.75">
      <c r="A31" s="2">
        <v>27.5</v>
      </c>
      <c r="B31" s="2">
        <v>1</v>
      </c>
      <c r="C31" s="2">
        <f t="shared" si="0"/>
        <v>0.9681773520929144</v>
      </c>
      <c r="D31" s="13">
        <f t="shared" si="1"/>
        <v>0.9985034149505582</v>
      </c>
      <c r="E31" s="2">
        <f t="shared" si="2"/>
        <v>29.220932854385648</v>
      </c>
      <c r="G31" s="3" t="s">
        <v>21</v>
      </c>
      <c r="I31" s="2">
        <f>F9/1000</f>
        <v>0.04</v>
      </c>
    </row>
    <row r="32" spans="1:9" ht="15.75">
      <c r="A32" s="2">
        <v>31</v>
      </c>
      <c r="B32" s="2">
        <v>0.984</v>
      </c>
      <c r="C32" s="2">
        <f t="shared" si="0"/>
        <v>0.9530357466365266</v>
      </c>
      <c r="D32" s="13">
        <f t="shared" si="1"/>
        <v>1.0139653374027504</v>
      </c>
      <c r="E32" s="2">
        <f t="shared" si="2"/>
        <v>32.672727379201625</v>
      </c>
      <c r="G32" s="3" t="s">
        <v>22</v>
      </c>
      <c r="I32" s="2">
        <v>15</v>
      </c>
    </row>
    <row r="33" spans="1:5" ht="15.75">
      <c r="A33" s="2">
        <v>32.5</v>
      </c>
      <c r="B33" s="2">
        <v>1.049</v>
      </c>
      <c r="C33" s="2">
        <f>B33*(1+($H$28+$H$29*A33)/(1282900)+($H$30+A33*$H$31-$H$32)/400)</f>
        <v>1.049</v>
      </c>
      <c r="D33" s="13">
        <f>G$18+G$20*A33</f>
        <v>1.020591875596547</v>
      </c>
      <c r="E33" s="2">
        <f t="shared" si="2"/>
        <v>34.14246277085682</v>
      </c>
    </row>
    <row r="34" spans="1:5" ht="15.75">
      <c r="A34" s="2">
        <v>34</v>
      </c>
      <c r="B34" s="2">
        <v>1.066</v>
      </c>
      <c r="C34" s="2">
        <f>B34*(1+($H$28+$H$29*A34)/(1282900)+($H$30+A34*$H$31-$H$32)/400)</f>
        <v>1.066</v>
      </c>
      <c r="D34" s="13">
        <f>G$18+G$20*A34</f>
        <v>1.0272184137903437</v>
      </c>
      <c r="E34" s="2">
        <f>E33+(A34-A33)/D34</f>
        <v>35.60271696788307</v>
      </c>
    </row>
    <row r="35" spans="1:5" ht="15.75">
      <c r="A35" s="2">
        <v>35.5</v>
      </c>
      <c r="B35" s="2">
        <v>1.049</v>
      </c>
      <c r="C35" s="2">
        <f>B35*(1+($H$28+$H$29*A35)/(1282900)+($H$30+A35*$H$31-$H$32)/400)</f>
        <v>1.049</v>
      </c>
      <c r="D35" s="13">
        <f>G$18+G$20*A35</f>
        <v>1.0338449519841404</v>
      </c>
      <c r="E35" s="2">
        <f>E34+(A35-A34)/D35</f>
        <v>37.05361151171309</v>
      </c>
    </row>
    <row r="36" spans="1:5" ht="15.75">
      <c r="A36" s="2">
        <v>36.8</v>
      </c>
      <c r="B36" s="2">
        <v>1.181</v>
      </c>
      <c r="C36" s="2">
        <f>B36*(1+($H$28+$H$29*A36)/(1282900)+($H$30+A36*$H$31-$H$32)/400)</f>
        <v>1.181</v>
      </c>
      <c r="D36" s="13">
        <f>G$18+G$20*A36</f>
        <v>1.0395879517520974</v>
      </c>
      <c r="E36" s="2">
        <f>E35+(A36-A35)/D36</f>
        <v>38.30410695830711</v>
      </c>
    </row>
    <row r="37" ht="15.75">
      <c r="E37" s="3"/>
    </row>
    <row r="38" ht="15.75">
      <c r="E38" s="3"/>
    </row>
    <row r="39" ht="15.75">
      <c r="E39" s="3"/>
    </row>
    <row r="40" ht="15.75">
      <c r="E40" s="3"/>
    </row>
    <row r="41" ht="15.75">
      <c r="E41" s="3"/>
    </row>
    <row r="42" ht="15.75">
      <c r="E42" s="3"/>
    </row>
    <row r="43" ht="15.75">
      <c r="E43" s="3"/>
    </row>
    <row r="44" ht="15.75">
      <c r="E44" s="3"/>
    </row>
    <row r="45" ht="15.75">
      <c r="E45" s="3"/>
    </row>
    <row r="46" ht="15.75">
      <c r="E46" s="3"/>
    </row>
    <row r="47" ht="15.75">
      <c r="E47" s="3"/>
    </row>
    <row r="48" ht="15.75">
      <c r="E48" s="3"/>
    </row>
    <row r="49" ht="15.75">
      <c r="E49" s="3"/>
    </row>
    <row r="50" ht="15.75">
      <c r="E50" s="3"/>
    </row>
    <row r="51" ht="15.75">
      <c r="E51" s="3"/>
    </row>
    <row r="52" ht="15.75">
      <c r="E52" s="3"/>
    </row>
    <row r="53" ht="15.75">
      <c r="E53" s="3"/>
    </row>
    <row r="54" ht="15.75">
      <c r="E54" s="3"/>
    </row>
    <row r="55" ht="15.75">
      <c r="E55" s="3"/>
    </row>
    <row r="56" ht="15.75">
      <c r="E56" s="3"/>
    </row>
    <row r="57" ht="15.75">
      <c r="E57" s="3"/>
    </row>
    <row r="58" ht="15.75">
      <c r="E58" s="3"/>
    </row>
    <row r="59" ht="15.75">
      <c r="E59" s="3"/>
    </row>
    <row r="60" ht="15.75">
      <c r="E60" s="3"/>
    </row>
    <row r="61" ht="15.75">
      <c r="E61" s="3"/>
    </row>
    <row r="62" ht="15.75">
      <c r="E62" s="3"/>
    </row>
    <row r="63" ht="15.75">
      <c r="E63" s="3"/>
    </row>
    <row r="64" ht="15.75">
      <c r="E64" s="3"/>
    </row>
    <row r="65" ht="15.75">
      <c r="E65" s="3"/>
    </row>
    <row r="66" ht="15.75">
      <c r="E66" s="3"/>
    </row>
    <row r="67" ht="15.75">
      <c r="E67" s="3"/>
    </row>
    <row r="68" ht="15.75">
      <c r="E68" s="3"/>
    </row>
    <row r="69" ht="15.75">
      <c r="E69" s="3"/>
    </row>
    <row r="70" ht="15.75">
      <c r="E70" s="3"/>
    </row>
    <row r="71" ht="15.75">
      <c r="E71" s="3"/>
    </row>
    <row r="72" ht="15.75">
      <c r="E72" s="3"/>
    </row>
    <row r="73" ht="15.75">
      <c r="E73" s="3"/>
    </row>
    <row r="74" ht="15.75">
      <c r="E74" s="3"/>
    </row>
    <row r="75" ht="15.75">
      <c r="E75" s="3"/>
    </row>
    <row r="76" ht="15.75">
      <c r="E76" s="3"/>
    </row>
    <row r="77" ht="15.75">
      <c r="E77" s="3"/>
    </row>
    <row r="78" ht="15.75">
      <c r="E78" s="3"/>
    </row>
    <row r="79" ht="15.75">
      <c r="E79" s="3"/>
    </row>
    <row r="80" ht="15.75">
      <c r="E80" s="3"/>
    </row>
    <row r="81" ht="15.75">
      <c r="E81" s="3"/>
    </row>
    <row r="82" ht="15.75">
      <c r="E82" s="3"/>
    </row>
    <row r="83" ht="15.75">
      <c r="E83" s="3"/>
    </row>
    <row r="84" ht="15.75">
      <c r="E84" s="3"/>
    </row>
    <row r="85" ht="15.75">
      <c r="E85" s="3"/>
    </row>
    <row r="86" ht="15.75">
      <c r="E86" s="3"/>
    </row>
    <row r="87" ht="15.75">
      <c r="E87" s="3"/>
    </row>
    <row r="88" ht="15.75">
      <c r="E88" s="3"/>
    </row>
    <row r="89" ht="15.75">
      <c r="E89" s="3"/>
    </row>
    <row r="90" ht="15.75">
      <c r="E90" s="3"/>
    </row>
    <row r="91" ht="15.75">
      <c r="E91" s="3"/>
    </row>
    <row r="92" ht="15.75">
      <c r="E92" s="3"/>
    </row>
    <row r="93" ht="15.75">
      <c r="E93" s="3"/>
    </row>
    <row r="94" ht="15.75">
      <c r="E94" s="3"/>
    </row>
    <row r="95" ht="15.75">
      <c r="E95" s="3"/>
    </row>
    <row r="96" ht="15.75">
      <c r="E96" s="3"/>
    </row>
    <row r="97" ht="15.75">
      <c r="E97" s="3"/>
    </row>
    <row r="98" ht="15.75">
      <c r="E98" s="3"/>
    </row>
    <row r="99" ht="15.75">
      <c r="E99" s="3"/>
    </row>
    <row r="100" ht="15.75">
      <c r="E100" s="3"/>
    </row>
    <row r="101" ht="15.75">
      <c r="E101" s="3"/>
    </row>
    <row r="102" ht="15.75">
      <c r="E102" s="3"/>
    </row>
    <row r="103" ht="15.75">
      <c r="E103" s="3"/>
    </row>
    <row r="104" ht="15.75">
      <c r="E104" s="3"/>
    </row>
    <row r="105" ht="15.75">
      <c r="E105" s="3"/>
    </row>
    <row r="106" ht="15.75">
      <c r="E106" s="3"/>
    </row>
    <row r="107" ht="15.75">
      <c r="E107" s="3"/>
    </row>
    <row r="108" ht="15.75">
      <c r="E108" s="3"/>
    </row>
    <row r="109" ht="15.75">
      <c r="E109" s="3"/>
    </row>
    <row r="110" ht="15.75">
      <c r="E110" s="3"/>
    </row>
    <row r="111" ht="15.75">
      <c r="E111" s="3"/>
    </row>
    <row r="112" ht="15.75">
      <c r="E112" s="3"/>
    </row>
    <row r="113" ht="15.75">
      <c r="E113" s="3"/>
    </row>
    <row r="114" ht="15.75">
      <c r="E114" s="3"/>
    </row>
    <row r="115" ht="15.75">
      <c r="E115" s="3"/>
    </row>
    <row r="116" ht="15.75">
      <c r="E116" s="3"/>
    </row>
    <row r="117" ht="15.75">
      <c r="E117" s="3"/>
    </row>
    <row r="118" ht="15.75">
      <c r="E118" s="3"/>
    </row>
    <row r="119" ht="15.75">
      <c r="E119" s="3"/>
    </row>
    <row r="120" ht="15.75">
      <c r="E120" s="3"/>
    </row>
    <row r="121" ht="15.75">
      <c r="E121" s="3"/>
    </row>
    <row r="122" ht="15.75">
      <c r="E122" s="3"/>
    </row>
    <row r="123" ht="15.75">
      <c r="E123" s="3"/>
    </row>
    <row r="124" ht="15.75">
      <c r="E124" s="3"/>
    </row>
    <row r="125" ht="15.75">
      <c r="E125" s="3"/>
    </row>
    <row r="126" ht="15.75">
      <c r="E126" s="3"/>
    </row>
    <row r="127" ht="15.75">
      <c r="E127" s="3"/>
    </row>
    <row r="128" ht="15.75">
      <c r="E128" s="3"/>
    </row>
    <row r="129" ht="15.75">
      <c r="E129" s="3"/>
    </row>
    <row r="130" ht="15.75">
      <c r="E130" s="3"/>
    </row>
    <row r="131" ht="15.75">
      <c r="E131" s="3"/>
    </row>
    <row r="132" ht="15.75">
      <c r="E132" s="3"/>
    </row>
    <row r="133" ht="15.75">
      <c r="E133" s="3"/>
    </row>
    <row r="134" ht="15.75">
      <c r="E134" s="3"/>
    </row>
    <row r="135" ht="15.75">
      <c r="E135" s="3"/>
    </row>
    <row r="136" ht="15.75">
      <c r="E136" s="3"/>
    </row>
    <row r="137" ht="15.75">
      <c r="E137" s="3"/>
    </row>
    <row r="138" ht="15.75">
      <c r="E138" s="3"/>
    </row>
    <row r="139" ht="15.75">
      <c r="E139" s="3"/>
    </row>
    <row r="140" ht="15.75">
      <c r="E140" s="3"/>
    </row>
    <row r="141" ht="15.75">
      <c r="E141" s="3"/>
    </row>
    <row r="142" ht="15.75">
      <c r="E142" s="3"/>
    </row>
    <row r="143" ht="15.75">
      <c r="E143" s="3"/>
    </row>
    <row r="144" ht="15.75">
      <c r="E144" s="3"/>
    </row>
    <row r="145" ht="15.75">
      <c r="E145" s="3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0"/>
  <sheetViews>
    <sheetView workbookViewId="0" topLeftCell="A1">
      <selection activeCell="C6" sqref="C6"/>
    </sheetView>
  </sheetViews>
  <sheetFormatPr defaultColWidth="11.00390625" defaultRowHeight="12.75"/>
  <cols>
    <col min="1" max="3" width="11.00390625" style="2" customWidth="1"/>
    <col min="4" max="4" width="11.00390625" style="13" customWidth="1"/>
    <col min="5" max="5" width="11.00390625" style="2" customWidth="1"/>
    <col min="6" max="6" width="13.375" style="3" bestFit="1" customWidth="1"/>
    <col min="7" max="16384" width="11.00390625" style="3" customWidth="1"/>
  </cols>
  <sheetData>
    <row r="1" spans="1:9" s="4" customFormat="1" ht="15.75">
      <c r="A1" s="2" t="s">
        <v>23</v>
      </c>
      <c r="B1" s="2" t="s">
        <v>24</v>
      </c>
      <c r="C1" s="2" t="s">
        <v>1</v>
      </c>
      <c r="D1" s="13"/>
      <c r="E1" s="3"/>
      <c r="F1" s="3"/>
      <c r="G1" s="2" t="s">
        <v>2</v>
      </c>
      <c r="I1" s="3" t="s">
        <v>3</v>
      </c>
    </row>
    <row r="2" spans="5:7" ht="15.75">
      <c r="E2" s="4" t="s">
        <v>4</v>
      </c>
      <c r="F2" s="5" t="s">
        <v>5</v>
      </c>
      <c r="G2" s="2"/>
    </row>
    <row r="3" spans="1:7" ht="15.75">
      <c r="A3" s="2">
        <v>0</v>
      </c>
      <c r="C3" s="2">
        <v>0</v>
      </c>
      <c r="E3" s="3"/>
      <c r="F3" s="5">
        <f>1000*1/SLOPE(C3:C9,B3:B9)</f>
        <v>82.68046802191242</v>
      </c>
      <c r="G3" s="2">
        <f>INTERCEPT(B4:B8,A4:A8)</f>
        <v>2.2277499257499285</v>
      </c>
    </row>
    <row r="4" spans="1:9" ht="15.75">
      <c r="A4" s="2">
        <v>53.5</v>
      </c>
      <c r="B4" s="2">
        <v>5.85</v>
      </c>
      <c r="C4" s="2">
        <f>LN($G$18+$G$20*A4)/$G$20-LN($G$18)/$G$20</f>
        <v>52.23912157524426</v>
      </c>
      <c r="E4" s="6"/>
      <c r="F4" s="6" t="s">
        <v>6</v>
      </c>
      <c r="I4" s="7">
        <f>SLOPE(E4:E8,A4:A8)*1000</f>
        <v>-67.78744782483919</v>
      </c>
    </row>
    <row r="5" spans="1:9" ht="15.75">
      <c r="A5" s="2">
        <v>72.5</v>
      </c>
      <c r="B5" s="2">
        <v>7.27</v>
      </c>
      <c r="C5" s="2">
        <f>LN($G$18+$G$20*A5)/$G$20-LN($G$18)/$G$20</f>
        <v>69.31029337445406</v>
      </c>
      <c r="E5" s="6">
        <f>1000*1/SLOPE(C4:C5,B4:B5)</f>
        <v>83.18116745013033</v>
      </c>
      <c r="F5" s="8">
        <f>CORREL(C3:C9,B3:B9)</f>
        <v>0.9998246227578927</v>
      </c>
      <c r="I5" s="7"/>
    </row>
    <row r="6" spans="1:5" ht="15.75">
      <c r="A6" s="2">
        <v>101.5</v>
      </c>
      <c r="B6" s="2">
        <v>9.4</v>
      </c>
      <c r="C6" s="2">
        <f>LN($G$18+$G$20*A6)/$G$20-LN($G$18)/$G$20</f>
        <v>94.07916752840322</v>
      </c>
      <c r="E6" s="6">
        <f>1000*1/SLOPE(C5:C6,B5:B6)</f>
        <v>85.9950269342534</v>
      </c>
    </row>
    <row r="7" spans="1:6" ht="15.75">
      <c r="A7" s="2">
        <v>139.5</v>
      </c>
      <c r="B7" s="2">
        <v>11.8</v>
      </c>
      <c r="C7" s="2">
        <f>LN($G$18+$G$20*A7)/$G$20-LN($G$18)/$G$20</f>
        <v>124.44004579701777</v>
      </c>
      <c r="E7" s="6">
        <f>1000*1/SLOPE(C6:C7,B6:B7)</f>
        <v>79.04909662909839</v>
      </c>
      <c r="F7" s="9"/>
    </row>
    <row r="8" spans="5:6" ht="15.75">
      <c r="E8" s="3"/>
      <c r="F8" s="5" t="s">
        <v>7</v>
      </c>
    </row>
    <row r="9" spans="5:6" ht="15.75">
      <c r="E9" s="3"/>
      <c r="F9" s="5">
        <f>1000*SLOPE(B3:B9,A3:A9)</f>
        <v>69.2343332343332</v>
      </c>
    </row>
    <row r="10" spans="5:6" ht="15.75">
      <c r="E10" s="3"/>
      <c r="F10" s="6" t="s">
        <v>8</v>
      </c>
    </row>
    <row r="11" spans="5:6" ht="15.75">
      <c r="E11" s="3"/>
      <c r="F11" s="8">
        <f>CORREL(B3:B9,A3:A9)</f>
        <v>0.9991186618137924</v>
      </c>
    </row>
    <row r="12" spans="5:6" ht="15.75">
      <c r="E12" s="3"/>
      <c r="F12" s="8"/>
    </row>
    <row r="13" spans="5:6" ht="15.75">
      <c r="E13" s="3"/>
      <c r="F13" s="8"/>
    </row>
    <row r="14" spans="1:9" ht="15.75">
      <c r="A14" s="10"/>
      <c r="B14" s="10"/>
      <c r="C14" s="10"/>
      <c r="D14" s="14"/>
      <c r="E14" s="10"/>
      <c r="F14" s="11"/>
      <c r="G14" s="11"/>
      <c r="H14" s="11"/>
      <c r="I14" s="11"/>
    </row>
    <row r="15" spans="1:9" s="4" customFormat="1" ht="15.75">
      <c r="A15" s="1"/>
      <c r="B15" s="2"/>
      <c r="C15" s="1" t="s">
        <v>10</v>
      </c>
      <c r="D15" s="15" t="s">
        <v>11</v>
      </c>
      <c r="E15" s="2" t="s">
        <v>12</v>
      </c>
      <c r="F15" s="3"/>
      <c r="G15" s="3" t="s">
        <v>13</v>
      </c>
      <c r="H15" s="3"/>
      <c r="I15" s="3"/>
    </row>
    <row r="16" spans="1:5" ht="15.75">
      <c r="A16" s="16">
        <v>0</v>
      </c>
      <c r="C16" s="1"/>
      <c r="D16" s="13">
        <f>G$18+G$20*A16</f>
        <v>0.9608199641634686</v>
      </c>
      <c r="E16" s="2">
        <v>0</v>
      </c>
    </row>
    <row r="17" spans="1:7" ht="15.75">
      <c r="A17" s="16">
        <v>36.5</v>
      </c>
      <c r="B17" s="2">
        <v>1.05</v>
      </c>
      <c r="C17" s="2">
        <f aca="true" t="shared" si="0" ref="C17:C32">B17*(1+($I$28+$I$29*A17)/(1282900)+($I$30+A17*$I$31-$I$32)/400)</f>
        <v>1.0202006261751209</v>
      </c>
      <c r="D17" s="13">
        <f aca="true" t="shared" si="1" ref="D17:D32">G$18+G$20*A17</f>
        <v>1.0490720388011963</v>
      </c>
      <c r="E17" s="2">
        <f>E16+(A17-A16)/D17</f>
        <v>34.79265355476404</v>
      </c>
      <c r="G17" s="3" t="s">
        <v>14</v>
      </c>
    </row>
    <row r="18" spans="1:7" ht="15.75">
      <c r="A18" s="16">
        <v>38</v>
      </c>
      <c r="B18" s="2">
        <v>1.044</v>
      </c>
      <c r="C18" s="2">
        <f t="shared" si="0"/>
        <v>1.0146441579353225</v>
      </c>
      <c r="D18" s="13">
        <f t="shared" si="1"/>
        <v>1.0526988363890482</v>
      </c>
      <c r="E18" s="2">
        <f aca="true" t="shared" si="2" ref="E18:E33">E17+(A18-A17)/D18</f>
        <v>36.217562510819576</v>
      </c>
      <c r="G18" s="2">
        <f>INTERCEPT(C16:C1001,A16:A1001)</f>
        <v>0.9608199641634686</v>
      </c>
    </row>
    <row r="19" spans="1:7" ht="15.75">
      <c r="A19" s="16">
        <v>39.5</v>
      </c>
      <c r="B19" s="2">
        <v>1.644</v>
      </c>
      <c r="C19" s="2">
        <f t="shared" si="0"/>
        <v>1.5982032739728207</v>
      </c>
      <c r="D19" s="13">
        <f t="shared" si="1"/>
        <v>1.0563256339768998</v>
      </c>
      <c r="E19" s="2">
        <f t="shared" si="2"/>
        <v>37.637579172114386</v>
      </c>
      <c r="G19" s="3" t="s">
        <v>15</v>
      </c>
    </row>
    <row r="20" spans="1:7" ht="15.75">
      <c r="A20" s="16">
        <v>41</v>
      </c>
      <c r="B20" s="2">
        <v>0.998</v>
      </c>
      <c r="C20" s="2">
        <f t="shared" si="0"/>
        <v>0.9704600343573517</v>
      </c>
      <c r="D20" s="13">
        <f t="shared" si="1"/>
        <v>1.0599524315647517</v>
      </c>
      <c r="E20" s="2">
        <f t="shared" si="2"/>
        <v>39.05273701819398</v>
      </c>
      <c r="G20" s="17">
        <f>SLOPE(C16:C1001,A16:A1001)</f>
        <v>0.0024178650585678805</v>
      </c>
    </row>
    <row r="21" spans="1:5" ht="15.75">
      <c r="A21" s="16">
        <v>42.5</v>
      </c>
      <c r="B21" s="2">
        <v>0.982</v>
      </c>
      <c r="C21" s="2">
        <f t="shared" si="0"/>
        <v>0.955158579008589</v>
      </c>
      <c r="D21" s="13">
        <f t="shared" si="1"/>
        <v>1.0635792291526036</v>
      </c>
      <c r="E21" s="2">
        <f t="shared" si="2"/>
        <v>40.46306918610883</v>
      </c>
    </row>
    <row r="22" spans="1:5" ht="15.75">
      <c r="A22" s="16">
        <v>46</v>
      </c>
      <c r="B22" s="2">
        <v>1.161</v>
      </c>
      <c r="C22" s="2">
        <f t="shared" si="0"/>
        <v>1.129974932025946</v>
      </c>
      <c r="D22" s="13">
        <f t="shared" si="1"/>
        <v>1.072041756857591</v>
      </c>
      <c r="E22" s="2">
        <f t="shared" si="2"/>
        <v>43.72786738786856</v>
      </c>
    </row>
    <row r="23" spans="1:5" ht="15.75">
      <c r="A23" s="16">
        <v>47.5</v>
      </c>
      <c r="B23" s="2">
        <v>1.114</v>
      </c>
      <c r="C23" s="2">
        <f t="shared" si="0"/>
        <v>1.0845224704223173</v>
      </c>
      <c r="D23" s="13">
        <f t="shared" si="1"/>
        <v>1.075668554445443</v>
      </c>
      <c r="E23" s="2">
        <f t="shared" si="2"/>
        <v>45.122348981479256</v>
      </c>
    </row>
    <row r="24" spans="1:5" ht="15.75">
      <c r="A24" s="16">
        <v>49</v>
      </c>
      <c r="B24" s="2">
        <v>1.051</v>
      </c>
      <c r="C24" s="2">
        <f t="shared" si="0"/>
        <v>1.023464593798717</v>
      </c>
      <c r="D24" s="13">
        <f t="shared" si="1"/>
        <v>1.0792953520332946</v>
      </c>
      <c r="E24" s="2">
        <f t="shared" si="2"/>
        <v>46.51214464507971</v>
      </c>
    </row>
    <row r="25" spans="1:5" ht="15.75">
      <c r="A25" s="16">
        <v>50.5</v>
      </c>
      <c r="B25" s="2">
        <v>1.081</v>
      </c>
      <c r="C25" s="2">
        <f t="shared" si="0"/>
        <v>1.0529615502153469</v>
      </c>
      <c r="D25" s="13">
        <f t="shared" si="1"/>
        <v>1.0829221496211465</v>
      </c>
      <c r="E25" s="2">
        <f t="shared" si="2"/>
        <v>47.89728576581933</v>
      </c>
    </row>
    <row r="26" spans="1:7" ht="15.75">
      <c r="A26" s="16">
        <v>52</v>
      </c>
      <c r="B26" s="2">
        <v>0.77</v>
      </c>
      <c r="C26" s="2">
        <f t="shared" si="0"/>
        <v>0.7502296509340114</v>
      </c>
      <c r="D26" s="13">
        <f t="shared" si="1"/>
        <v>1.0865489472089984</v>
      </c>
      <c r="E26" s="2">
        <f t="shared" si="2"/>
        <v>49.27780341654554</v>
      </c>
      <c r="G26" s="12" t="s">
        <v>17</v>
      </c>
    </row>
    <row r="27" spans="1:5" ht="15.75">
      <c r="A27" s="2">
        <v>55.5</v>
      </c>
      <c r="B27" s="2">
        <v>1.047</v>
      </c>
      <c r="C27" s="2">
        <f t="shared" si="0"/>
        <v>1.0207568750154912</v>
      </c>
      <c r="D27" s="13">
        <f t="shared" si="1"/>
        <v>1.0950114749139859</v>
      </c>
      <c r="E27" s="2">
        <f t="shared" si="2"/>
        <v>52.474116953145625</v>
      </c>
    </row>
    <row r="28" spans="1:9" ht="15.75">
      <c r="A28" s="2">
        <v>57</v>
      </c>
      <c r="B28" s="2">
        <v>1.1</v>
      </c>
      <c r="C28" s="2">
        <f t="shared" si="0"/>
        <v>1.0727163331648348</v>
      </c>
      <c r="D28" s="13">
        <f t="shared" si="1"/>
        <v>1.0986382725018378</v>
      </c>
      <c r="E28" s="2">
        <f t="shared" si="2"/>
        <v>53.83944350105859</v>
      </c>
      <c r="G28" s="3" t="s">
        <v>18</v>
      </c>
      <c r="I28" s="2">
        <v>3529</v>
      </c>
    </row>
    <row r="29" spans="1:9" ht="15.75">
      <c r="A29" s="2">
        <v>58.5</v>
      </c>
      <c r="B29" s="2">
        <v>1.102</v>
      </c>
      <c r="C29" s="2">
        <f t="shared" si="0"/>
        <v>1.0749551566565918</v>
      </c>
      <c r="D29" s="13">
        <f t="shared" si="1"/>
        <v>1.1022650700896897</v>
      </c>
      <c r="E29" s="2">
        <f t="shared" si="2"/>
        <v>55.20027769666451</v>
      </c>
      <c r="G29" s="3" t="s">
        <v>19</v>
      </c>
      <c r="I29" s="2">
        <v>1.8</v>
      </c>
    </row>
    <row r="30" spans="1:9" ht="15.75">
      <c r="A30" s="2">
        <v>60</v>
      </c>
      <c r="B30" s="2">
        <v>1.0962</v>
      </c>
      <c r="C30" s="2">
        <f t="shared" si="0"/>
        <v>1.069584410042609</v>
      </c>
      <c r="D30" s="13">
        <f t="shared" si="1"/>
        <v>1.1058918676775416</v>
      </c>
      <c r="E30" s="2">
        <f t="shared" si="2"/>
        <v>56.55664900550695</v>
      </c>
      <c r="G30" s="3" t="s">
        <v>20</v>
      </c>
      <c r="I30" s="2">
        <f>B3</f>
        <v>0</v>
      </c>
    </row>
    <row r="31" spans="1:9" ht="15.75">
      <c r="A31" s="2">
        <v>61.5</v>
      </c>
      <c r="B31" s="2">
        <v>1.015</v>
      </c>
      <c r="C31" s="2">
        <f t="shared" si="0"/>
        <v>0.9906215945813628</v>
      </c>
      <c r="D31" s="13">
        <f t="shared" si="1"/>
        <v>1.1095186652653932</v>
      </c>
      <c r="E31" s="2">
        <f t="shared" si="2"/>
        <v>57.90858660417835</v>
      </c>
      <c r="G31" s="3" t="s">
        <v>21</v>
      </c>
      <c r="I31" s="2">
        <f>F9/1000</f>
        <v>0.0692343332343332</v>
      </c>
    </row>
    <row r="32" spans="1:9" ht="15.75">
      <c r="A32" s="2">
        <v>65</v>
      </c>
      <c r="B32" s="2">
        <v>1.106</v>
      </c>
      <c r="C32" s="2">
        <f t="shared" si="0"/>
        <v>1.0801113909887439</v>
      </c>
      <c r="D32" s="13">
        <f t="shared" si="1"/>
        <v>1.117981192970381</v>
      </c>
      <c r="E32" s="2">
        <f t="shared" si="2"/>
        <v>61.03922960784177</v>
      </c>
      <c r="G32" s="3" t="s">
        <v>22</v>
      </c>
      <c r="I32" s="2">
        <v>15</v>
      </c>
    </row>
    <row r="33" spans="1:5" ht="15.75">
      <c r="A33" s="2">
        <v>66.5</v>
      </c>
      <c r="B33" s="2">
        <v>1.182</v>
      </c>
      <c r="C33" s="2">
        <f aca="true" t="shared" si="3" ref="C33:C48">B33*(1+($I$28+$I$29*A33)/(1282900)+($I$30+A33*$I$31-$I$32)/400)</f>
        <v>1.1546417957247945</v>
      </c>
      <c r="D33" s="13">
        <f aca="true" t="shared" si="4" ref="D33:D48">G$18+G$20*A33</f>
        <v>1.1216079905582326</v>
      </c>
      <c r="E33" s="2">
        <f t="shared" si="2"/>
        <v>62.3765952584319</v>
      </c>
    </row>
    <row r="34" spans="1:5" ht="15.75">
      <c r="A34" s="2">
        <v>68</v>
      </c>
      <c r="B34" s="2">
        <v>1.183</v>
      </c>
      <c r="C34" s="2">
        <f t="shared" si="3"/>
        <v>1.1559282805964948</v>
      </c>
      <c r="D34" s="13">
        <f t="shared" si="4"/>
        <v>1.1252347881460845</v>
      </c>
      <c r="E34" s="2">
        <f aca="true" t="shared" si="5" ref="E34:E49">E33+(A34-A33)/D34</f>
        <v>63.70965038239529</v>
      </c>
    </row>
    <row r="35" spans="1:5" ht="15.75">
      <c r="A35" s="2">
        <v>69.5</v>
      </c>
      <c r="B35" s="2">
        <v>1.214</v>
      </c>
      <c r="C35" s="2">
        <f t="shared" si="3"/>
        <v>1.1865366222694074</v>
      </c>
      <c r="D35" s="13">
        <f t="shared" si="4"/>
        <v>1.1288615857339364</v>
      </c>
      <c r="E35" s="2">
        <f t="shared" si="5"/>
        <v>65.03842267738375</v>
      </c>
    </row>
    <row r="36" spans="1:5" ht="15.75">
      <c r="A36" s="2">
        <v>71</v>
      </c>
      <c r="B36" s="2">
        <v>1.238</v>
      </c>
      <c r="C36" s="2">
        <f t="shared" si="3"/>
        <v>1.210317714832204</v>
      </c>
      <c r="D36" s="13">
        <f t="shared" si="4"/>
        <v>1.132488383321788</v>
      </c>
      <c r="E36" s="2">
        <f t="shared" si="5"/>
        <v>66.36293957494365</v>
      </c>
    </row>
    <row r="37" spans="1:5" ht="15.75">
      <c r="A37" s="2">
        <v>94.3</v>
      </c>
      <c r="B37" s="2">
        <v>1.335</v>
      </c>
      <c r="C37" s="2">
        <f t="shared" si="3"/>
        <v>1.3105763120272202</v>
      </c>
      <c r="D37" s="13">
        <f t="shared" si="4"/>
        <v>1.1888246391864197</v>
      </c>
      <c r="E37" s="2">
        <f t="shared" si="5"/>
        <v>85.96212959168616</v>
      </c>
    </row>
    <row r="38" spans="1:5" ht="15.75">
      <c r="A38" s="2">
        <v>95.8</v>
      </c>
      <c r="B38" s="2">
        <v>1.259</v>
      </c>
      <c r="C38" s="2">
        <f t="shared" si="3"/>
        <v>1.2362962465221012</v>
      </c>
      <c r="D38" s="13">
        <f t="shared" si="4"/>
        <v>1.1924514367742716</v>
      </c>
      <c r="E38" s="2">
        <f t="shared" si="5"/>
        <v>87.22004245399751</v>
      </c>
    </row>
    <row r="39" spans="1:5" ht="15.75">
      <c r="A39" s="2">
        <v>97.3</v>
      </c>
      <c r="B39" s="2">
        <v>1.292</v>
      </c>
      <c r="C39" s="2">
        <f t="shared" si="3"/>
        <v>1.269039311606493</v>
      </c>
      <c r="D39" s="13">
        <f t="shared" si="4"/>
        <v>1.1960782343621235</v>
      </c>
      <c r="E39" s="2">
        <f t="shared" si="5"/>
        <v>88.47414102122038</v>
      </c>
    </row>
    <row r="40" spans="1:5" ht="15.75">
      <c r="A40" s="2">
        <v>98.8</v>
      </c>
      <c r="B40" s="2">
        <v>1.302</v>
      </c>
      <c r="C40" s="2">
        <f t="shared" si="3"/>
        <v>1.2792023741300476</v>
      </c>
      <c r="D40" s="13">
        <f t="shared" si="4"/>
        <v>1.1997050319499751</v>
      </c>
      <c r="E40" s="2">
        <f t="shared" si="5"/>
        <v>89.72444835515056</v>
      </c>
    </row>
    <row r="41" spans="1:5" ht="15.75">
      <c r="A41" s="2">
        <v>100.3</v>
      </c>
      <c r="B41" s="2">
        <v>1.3</v>
      </c>
      <c r="C41" s="2">
        <f t="shared" si="3"/>
        <v>1.2775776468879176</v>
      </c>
      <c r="D41" s="13">
        <f t="shared" si="4"/>
        <v>1.203331829537827</v>
      </c>
      <c r="E41" s="2">
        <f t="shared" si="5"/>
        <v>90.97098730906164</v>
      </c>
    </row>
    <row r="42" spans="1:5" ht="15.75">
      <c r="A42" s="2">
        <v>113.3</v>
      </c>
      <c r="B42" s="2">
        <v>1.212</v>
      </c>
      <c r="C42" s="2">
        <f t="shared" si="3"/>
        <v>1.193844714889372</v>
      </c>
      <c r="D42" s="13">
        <f t="shared" si="4"/>
        <v>1.2347640752992095</v>
      </c>
      <c r="E42" s="2">
        <f t="shared" si="5"/>
        <v>101.49931434744735</v>
      </c>
    </row>
    <row r="43" spans="1:5" ht="15.75">
      <c r="A43" s="2">
        <v>114.8</v>
      </c>
      <c r="B43" s="2">
        <v>1.291</v>
      </c>
      <c r="C43" s="2">
        <f t="shared" si="3"/>
        <v>1.2719992236064679</v>
      </c>
      <c r="D43" s="13">
        <f t="shared" si="4"/>
        <v>1.2383908728870612</v>
      </c>
      <c r="E43" s="2">
        <f t="shared" si="5"/>
        <v>102.71056358453438</v>
      </c>
    </row>
    <row r="44" spans="1:5" ht="15.75">
      <c r="A44" s="2">
        <v>116.3</v>
      </c>
      <c r="B44" s="2">
        <v>1.242</v>
      </c>
      <c r="C44" s="2">
        <f t="shared" si="3"/>
        <v>1.2240454723013052</v>
      </c>
      <c r="D44" s="13">
        <f t="shared" si="4"/>
        <v>1.242017670474913</v>
      </c>
      <c r="E44" s="2">
        <f t="shared" si="5"/>
        <v>103.91827587048475</v>
      </c>
    </row>
    <row r="45" spans="1:5" ht="15.75">
      <c r="A45" s="2">
        <v>117.8</v>
      </c>
      <c r="B45" s="2">
        <v>1.215</v>
      </c>
      <c r="C45" s="2">
        <f t="shared" si="3"/>
        <v>1.1977537941488428</v>
      </c>
      <c r="D45" s="13">
        <f t="shared" si="4"/>
        <v>1.245644468062765</v>
      </c>
      <c r="E45" s="2">
        <f t="shared" si="5"/>
        <v>105.12247180155391</v>
      </c>
    </row>
    <row r="46" spans="1:5" ht="15.75">
      <c r="A46" s="2">
        <v>119.3</v>
      </c>
      <c r="B46" s="2">
        <v>1.437</v>
      </c>
      <c r="C46" s="2">
        <f t="shared" si="3"/>
        <v>1.416978746381995</v>
      </c>
      <c r="D46" s="13">
        <f t="shared" si="4"/>
        <v>1.2492712656506169</v>
      </c>
      <c r="E46" s="2">
        <f t="shared" si="5"/>
        <v>106.32317179461651</v>
      </c>
    </row>
    <row r="47" spans="1:5" ht="15.75">
      <c r="A47" s="2">
        <v>122.8</v>
      </c>
      <c r="B47" s="2">
        <v>1.218</v>
      </c>
      <c r="C47" s="2">
        <f t="shared" si="3"/>
        <v>1.201773848351418</v>
      </c>
      <c r="D47" s="13">
        <f t="shared" si="4"/>
        <v>1.2577337933556043</v>
      </c>
      <c r="E47" s="2">
        <f t="shared" si="5"/>
        <v>109.10595462075183</v>
      </c>
    </row>
    <row r="48" spans="1:5" ht="15.75">
      <c r="A48" s="2">
        <v>124.3</v>
      </c>
      <c r="B48" s="2">
        <v>1.253</v>
      </c>
      <c r="C48" s="2">
        <f t="shared" si="3"/>
        <v>1.2366355315214268</v>
      </c>
      <c r="D48" s="13">
        <f t="shared" si="4"/>
        <v>1.2613605909434562</v>
      </c>
      <c r="E48" s="2">
        <f t="shared" si="5"/>
        <v>110.29514668111108</v>
      </c>
    </row>
    <row r="49" spans="1:5" ht="15.75">
      <c r="A49" s="2">
        <v>125.8</v>
      </c>
      <c r="B49" s="2">
        <v>1.215</v>
      </c>
      <c r="C49" s="2">
        <f>B49*(1+($I$28+$I$29*A49)/(1282900)+($I$30+A49*$I$31-$I$32)/400)</f>
        <v>1.1994498262981794</v>
      </c>
      <c r="D49" s="13">
        <f>G$18+G$20*A49</f>
        <v>1.264987388531308</v>
      </c>
      <c r="E49" s="2">
        <f t="shared" si="5"/>
        <v>111.48092925380656</v>
      </c>
    </row>
    <row r="50" spans="1:5" ht="15.75">
      <c r="A50" s="2">
        <v>127.3</v>
      </c>
      <c r="B50" s="2">
        <v>1.2</v>
      </c>
      <c r="C50" s="2">
        <f>B50*(1+($I$28+$I$29*A50)/(1282900)+($I$30+A50*$I$31-$I$32)/400)</f>
        <v>1.184955883778943</v>
      </c>
      <c r="D50" s="13">
        <f>G$18+G$20*A50</f>
        <v>1.2686141861191598</v>
      </c>
      <c r="E50" s="2">
        <f>E49+(A50-A49)/D50</f>
        <v>112.66332183337299</v>
      </c>
    </row>
    <row r="51" spans="1:5" ht="15.75">
      <c r="A51" s="2">
        <v>128.8</v>
      </c>
      <c r="B51" s="2">
        <v>1.23</v>
      </c>
      <c r="C51" s="2">
        <f>B51*(1+($I$28+$I$29*A51)/(1282900)+($I$30+A51*$I$31-$I$32)/400)</f>
        <v>1.214901712901763</v>
      </c>
      <c r="D51" s="13">
        <f>G$18+G$20*A51</f>
        <v>1.2722409837070117</v>
      </c>
      <c r="E51" s="2">
        <f>E50+(A51-A50)/D51</f>
        <v>113.84234374762494</v>
      </c>
    </row>
    <row r="52" ht="15.75">
      <c r="E52" s="3"/>
    </row>
    <row r="53" ht="15.75">
      <c r="E53" s="3"/>
    </row>
    <row r="54" ht="15.75">
      <c r="E54" s="3"/>
    </row>
    <row r="55" ht="15.75">
      <c r="E55" s="3"/>
    </row>
    <row r="56" ht="15.75">
      <c r="E56" s="3"/>
    </row>
    <row r="57" ht="15.75">
      <c r="E57" s="3"/>
    </row>
    <row r="58" ht="15.75">
      <c r="E58" s="3"/>
    </row>
    <row r="59" ht="15.75">
      <c r="E59" s="3"/>
    </row>
    <row r="60" ht="15.75">
      <c r="E60" s="3"/>
    </row>
    <row r="61" ht="15.75">
      <c r="E61" s="3"/>
    </row>
    <row r="62" ht="15.75">
      <c r="E62" s="3"/>
    </row>
    <row r="63" ht="15.75">
      <c r="E63" s="3"/>
    </row>
    <row r="64" ht="15.75">
      <c r="E64" s="3"/>
    </row>
    <row r="65" ht="15.75">
      <c r="E65" s="3"/>
    </row>
    <row r="66" ht="15.75">
      <c r="E66" s="3"/>
    </row>
    <row r="67" ht="15.75">
      <c r="E67" s="3"/>
    </row>
    <row r="68" ht="15.75">
      <c r="E68" s="3"/>
    </row>
    <row r="69" ht="15.75">
      <c r="E69" s="3"/>
    </row>
    <row r="70" ht="15.75">
      <c r="E70" s="3"/>
    </row>
    <row r="71" ht="15.75">
      <c r="E71" s="3"/>
    </row>
    <row r="72" ht="15.75">
      <c r="E72" s="3"/>
    </row>
    <row r="73" ht="15.75">
      <c r="E73" s="3"/>
    </row>
    <row r="74" ht="15.75">
      <c r="E74" s="3"/>
    </row>
    <row r="75" ht="15.75">
      <c r="E75" s="3"/>
    </row>
    <row r="76" ht="15.75">
      <c r="E76" s="3"/>
    </row>
    <row r="77" ht="15.75">
      <c r="E77" s="3"/>
    </row>
    <row r="78" ht="15.75">
      <c r="E78" s="3"/>
    </row>
    <row r="79" ht="15.75">
      <c r="E79" s="3"/>
    </row>
    <row r="80" ht="15.75">
      <c r="E80" s="3"/>
    </row>
    <row r="81" ht="15.75">
      <c r="E81" s="3"/>
    </row>
    <row r="82" ht="15.75">
      <c r="E82" s="3"/>
    </row>
    <row r="83" ht="15.75">
      <c r="E83" s="3"/>
    </row>
    <row r="84" ht="15.75">
      <c r="E84" s="3"/>
    </row>
    <row r="85" ht="15.75">
      <c r="E85" s="3"/>
    </row>
    <row r="86" ht="15.75">
      <c r="E86" s="3"/>
    </row>
    <row r="87" ht="15.75">
      <c r="E87" s="3"/>
    </row>
    <row r="88" ht="15.75">
      <c r="E88" s="3"/>
    </row>
    <row r="89" ht="15.75">
      <c r="E89" s="3"/>
    </row>
    <row r="90" ht="15.75">
      <c r="E90" s="3"/>
    </row>
    <row r="91" ht="15.75">
      <c r="E91" s="3"/>
    </row>
    <row r="92" ht="15.75">
      <c r="E92" s="3"/>
    </row>
    <row r="93" ht="15.75">
      <c r="E93" s="3"/>
    </row>
    <row r="94" ht="15.75">
      <c r="E94" s="3"/>
    </row>
    <row r="95" ht="15.75">
      <c r="E95" s="3"/>
    </row>
    <row r="96" ht="15.75">
      <c r="E96" s="3"/>
    </row>
    <row r="97" ht="15.75">
      <c r="E97" s="3"/>
    </row>
    <row r="98" ht="15.75">
      <c r="E98" s="3"/>
    </row>
    <row r="99" ht="15.75">
      <c r="E99" s="3"/>
    </row>
    <row r="100" ht="15.75">
      <c r="E100" s="3"/>
    </row>
    <row r="101" ht="15.75">
      <c r="E101" s="3"/>
    </row>
    <row r="102" ht="15.75">
      <c r="E102" s="3"/>
    </row>
    <row r="103" ht="15.75">
      <c r="E103" s="3"/>
    </row>
    <row r="104" ht="15.75">
      <c r="E104" s="3"/>
    </row>
    <row r="105" ht="15.75">
      <c r="E105" s="3"/>
    </row>
    <row r="106" ht="15.75">
      <c r="E106" s="3"/>
    </row>
    <row r="107" ht="15.75">
      <c r="E107" s="3"/>
    </row>
    <row r="108" ht="15.75">
      <c r="E108" s="3"/>
    </row>
    <row r="109" ht="15.75">
      <c r="E109" s="3"/>
    </row>
    <row r="110" ht="15.75">
      <c r="E110" s="3"/>
    </row>
    <row r="111" ht="15.75">
      <c r="E111" s="3"/>
    </row>
    <row r="112" ht="15.75">
      <c r="E112" s="3"/>
    </row>
    <row r="113" ht="15.75">
      <c r="E113" s="3"/>
    </row>
    <row r="114" ht="15.75">
      <c r="E114" s="3"/>
    </row>
    <row r="115" ht="15.75">
      <c r="E115" s="3"/>
    </row>
    <row r="116" ht="15.75">
      <c r="E116" s="3"/>
    </row>
    <row r="117" ht="15.75">
      <c r="E117" s="3"/>
    </row>
    <row r="118" ht="15.75">
      <c r="E118" s="3"/>
    </row>
    <row r="119" ht="15.75">
      <c r="E119" s="3"/>
    </row>
    <row r="120" ht="15.75">
      <c r="E120" s="3"/>
    </row>
    <row r="121" ht="15.75">
      <c r="E121" s="3"/>
    </row>
    <row r="122" ht="15.75">
      <c r="E122" s="3"/>
    </row>
    <row r="123" ht="15.75">
      <c r="E123" s="3"/>
    </row>
    <row r="124" ht="15.75">
      <c r="E124" s="3"/>
    </row>
    <row r="125" ht="15.75">
      <c r="E125" s="3"/>
    </row>
    <row r="126" ht="15.75">
      <c r="E126" s="3"/>
    </row>
    <row r="127" ht="15.75">
      <c r="E127" s="3"/>
    </row>
    <row r="128" ht="15.75">
      <c r="E128" s="3"/>
    </row>
    <row r="129" ht="15.75">
      <c r="E129" s="3"/>
    </row>
    <row r="130" ht="15.75">
      <c r="E130" s="3"/>
    </row>
    <row r="131" ht="15.75">
      <c r="E131" s="3"/>
    </row>
    <row r="132" ht="15.75">
      <c r="E132" s="3"/>
    </row>
    <row r="133" ht="15.75">
      <c r="E133" s="3"/>
    </row>
    <row r="134" ht="15.75">
      <c r="E134" s="3"/>
    </row>
    <row r="135" ht="15.75">
      <c r="E135" s="3"/>
    </row>
    <row r="136" ht="15.75">
      <c r="E136" s="3"/>
    </row>
    <row r="137" ht="15.75">
      <c r="E137" s="3"/>
    </row>
    <row r="138" ht="15.75">
      <c r="E138" s="3"/>
    </row>
    <row r="139" ht="15.75">
      <c r="E139" s="3"/>
    </row>
    <row r="140" ht="15.75">
      <c r="E140" s="3"/>
    </row>
    <row r="141" ht="15.75">
      <c r="E141" s="3"/>
    </row>
    <row r="142" ht="15.75">
      <c r="E142" s="3"/>
    </row>
    <row r="143" ht="15.75">
      <c r="E143" s="3"/>
    </row>
    <row r="144" ht="15.75">
      <c r="E144" s="3"/>
    </row>
    <row r="145" ht="15.75">
      <c r="E145" s="3"/>
    </row>
    <row r="146" ht="15.75">
      <c r="E146" s="3"/>
    </row>
    <row r="147" ht="15.75">
      <c r="E147" s="3"/>
    </row>
    <row r="148" ht="15.75">
      <c r="E148" s="3"/>
    </row>
    <row r="149" ht="15.75">
      <c r="E149" s="3"/>
    </row>
    <row r="150" ht="15.75">
      <c r="E150" s="3"/>
    </row>
    <row r="151" ht="15.75">
      <c r="E151" s="3"/>
    </row>
    <row r="152" ht="15.75">
      <c r="E152" s="3"/>
    </row>
    <row r="153" ht="15.75">
      <c r="E153" s="3"/>
    </row>
    <row r="154" ht="15.75">
      <c r="E154" s="3"/>
    </row>
    <row r="155" ht="15.75">
      <c r="E155" s="3"/>
    </row>
    <row r="156" ht="15.75">
      <c r="E156" s="3"/>
    </row>
    <row r="157" ht="15.75">
      <c r="E157" s="3"/>
    </row>
    <row r="158" ht="15.75">
      <c r="E158" s="3"/>
    </row>
    <row r="159" ht="15.75">
      <c r="E159" s="3"/>
    </row>
    <row r="160" ht="15.75">
      <c r="E160" s="3"/>
    </row>
    <row r="161" ht="15.75">
      <c r="E161" s="3"/>
    </row>
    <row r="162" ht="15.75">
      <c r="E162" s="3"/>
    </row>
    <row r="163" ht="15.75">
      <c r="E163" s="3"/>
    </row>
    <row r="164" ht="15.75">
      <c r="E164" s="3"/>
    </row>
    <row r="165" ht="15.75">
      <c r="E165" s="3"/>
    </row>
    <row r="166" ht="15.75">
      <c r="E166" s="3"/>
    </row>
    <row r="167" ht="15.75">
      <c r="E167" s="3"/>
    </row>
    <row r="168" ht="15.75">
      <c r="E168" s="3"/>
    </row>
    <row r="169" ht="15.75">
      <c r="E169" s="3"/>
    </row>
    <row r="170" ht="15.75">
      <c r="E170" s="3"/>
    </row>
    <row r="171" ht="15.75">
      <c r="E171" s="3"/>
    </row>
    <row r="172" ht="15.75">
      <c r="E172" s="3"/>
    </row>
    <row r="173" ht="15.75">
      <c r="E173" s="3"/>
    </row>
    <row r="174" ht="15.75">
      <c r="E174" s="3"/>
    </row>
    <row r="175" ht="15.75">
      <c r="E175" s="3"/>
    </row>
    <row r="176" ht="15.75">
      <c r="E176" s="3"/>
    </row>
    <row r="177" ht="15.75">
      <c r="E177" s="3"/>
    </row>
    <row r="178" ht="15.75">
      <c r="E178" s="3"/>
    </row>
    <row r="179" ht="15.75">
      <c r="E179" s="3"/>
    </row>
    <row r="180" ht="15.75">
      <c r="E180" s="3"/>
    </row>
    <row r="181" ht="15.75">
      <c r="E181" s="3"/>
    </row>
    <row r="182" ht="15.75">
      <c r="E182" s="3"/>
    </row>
    <row r="183" ht="15.75">
      <c r="E183" s="3"/>
    </row>
    <row r="184" ht="15.75">
      <c r="E184" s="3"/>
    </row>
    <row r="185" ht="15.75">
      <c r="E185" s="3"/>
    </row>
    <row r="186" ht="15.75">
      <c r="E186" s="3"/>
    </row>
    <row r="187" ht="15.75">
      <c r="E187" s="3"/>
    </row>
    <row r="188" ht="15.75">
      <c r="E188" s="3"/>
    </row>
    <row r="189" ht="15.75">
      <c r="E189" s="3"/>
    </row>
    <row r="190" ht="15.75">
      <c r="E190" s="3"/>
    </row>
    <row r="191" ht="15.75">
      <c r="E191" s="3"/>
    </row>
    <row r="192" ht="15.75">
      <c r="E192" s="3"/>
    </row>
    <row r="193" ht="15.75">
      <c r="E193" s="3"/>
    </row>
    <row r="194" ht="15.75">
      <c r="E194" s="3"/>
    </row>
    <row r="195" ht="15.75">
      <c r="E195" s="3"/>
    </row>
    <row r="196" ht="15.75">
      <c r="E196" s="3"/>
    </row>
    <row r="197" ht="15.75">
      <c r="E197" s="3"/>
    </row>
    <row r="198" ht="15.75">
      <c r="E198" s="3"/>
    </row>
    <row r="199" ht="15.75">
      <c r="E199" s="3"/>
    </row>
    <row r="200" ht="15.75">
      <c r="E200" s="3"/>
    </row>
    <row r="201" ht="15.75">
      <c r="E201" s="3"/>
    </row>
    <row r="202" ht="15.75">
      <c r="E202" s="3"/>
    </row>
    <row r="203" ht="15.75">
      <c r="E203" s="3"/>
    </row>
    <row r="204" ht="15.75">
      <c r="E204" s="3"/>
    </row>
    <row r="205" ht="15.75">
      <c r="E205" s="3"/>
    </row>
    <row r="206" ht="15.75">
      <c r="E206" s="3"/>
    </row>
    <row r="207" ht="15.75">
      <c r="E207" s="3"/>
    </row>
    <row r="208" ht="15.75">
      <c r="E208" s="3"/>
    </row>
    <row r="209" ht="15.75">
      <c r="E209" s="3"/>
    </row>
    <row r="210" ht="15.75">
      <c r="E210" s="3"/>
    </row>
    <row r="217" ht="15.75">
      <c r="E217" s="3"/>
    </row>
    <row r="218" ht="15.75">
      <c r="E218" s="3"/>
    </row>
    <row r="219" ht="15.75">
      <c r="E219" s="3"/>
    </row>
    <row r="220" ht="15.75">
      <c r="E220" s="3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