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105" windowWidth="15105" windowHeight="9585" activeTab="0"/>
  </bookViews>
  <sheets>
    <sheet name="752 A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<sst xmlns="http://schemas.openxmlformats.org/spreadsheetml/2006/main" count="26" uniqueCount="24">
  <si>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</si>
  <si>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</si>
  <si>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</si>
  <si>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</si>
  <si>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</si>
  <si>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</si>
  <si>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</si>
  <si>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</si>
  <si>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</si>
  <si>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</si>
  <si>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</si>
  <si>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</si>
  <si>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</si>
  <si>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</si>
  <si>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</si>
  <si>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</si>
  <si>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C</t>
  </si>
  <si>
    <t>insitu corr.</t>
  </si>
  <si>
    <t>water depth (m)</t>
  </si>
  <si>
    <t>sediment dens. (g/cm3)</t>
  </si>
  <si>
    <t>T bottom water</t>
  </si>
  <si>
    <t>mean gradient</t>
  </si>
  <si>
    <t>lab T</t>
  </si>
  <si>
    <t xml:space="preserve">       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</si>
</sst>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4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4.6</v>
      </c>
      <c r="C3" s="1">
        <v>0</v>
      </c>
      <c r="E3" s="2"/>
      <c r="F3" s="4">
        <f>1000*1/SLOPE(C3:C9,B3:B9)</f>
        <v>43.185103880698584</v>
      </c>
      <c r="G3" s="1">
        <f>INTERCEPT(B4:B6,A4:A6)</f>
        <v>4.74375</v>
      </c>
    </row>
    <row r="4" spans="1:9" ht="15.75">
      <c r="A4" s="1">
        <v>37</v>
      </c>
      <c r="B4" s="1">
        <v>5.9</v>
      </c>
      <c r="C4" s="1">
        <f>(A4-$A$3)/2/3*(1/($G$18*(0.6/$G$18)^$G$20)+4/($G$18*(0.6/$G$18)^($G$20*EXP(-((A4+$A$3)/2)/$G$22)))+1/($G$18*(0.6/$G$18)^($G$20*EXP(-(A4/$G$22)))))</f>
        <v>29.841869179418037</v>
      </c>
      <c r="E4" s="5">
        <f>1000*1/SLOPE(C3:C4,B3:B4)</f>
        <v>43.56295485996597</v>
      </c>
      <c r="F4" s="5" t="s">
        <v>7</v>
      </c>
      <c r="I4" s="6">
        <f>SLOPE(E4:E6,A4:A6)*1000</f>
        <v>-103.23536603975825</v>
      </c>
    </row>
    <row r="5" spans="1:9" ht="15.75">
      <c r="A5" s="1">
        <v>53</v>
      </c>
      <c r="B5" s="1">
        <v>6.4</v>
      </c>
      <c r="C5" s="1">
        <f>(A5-$A$3)/2/3*(1/($G$18*(0.6/$G$18)^$G$20)+4/($G$18*(0.6/$G$18)^($G$20*EXP(-((A5+$A$3)/2)/$G$22)))+1/($G$18*(0.6/$G$18)^($G$20*EXP(-(A5/$G$22)))))</f>
        <v>41.7718576118693</v>
      </c>
      <c r="E5" s="5">
        <f>1000*1/SLOPE(C4:C5,B4:B5)</f>
        <v>41.911189003329824</v>
      </c>
      <c r="F5" s="7">
        <f>CORREL(C3:C9,B3:B9)</f>
        <v>0.9999639500015292</v>
      </c>
      <c r="I5" s="6"/>
    </row>
    <row r="6" ht="15.75">
      <c r="E6" s="2"/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34.16779431664416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0.999654461437804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6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7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5">
        <f aca="true" t="shared" si="0" ref="D16:D31">$G$18^(1-$G$20*EXP(-A16/$G$22))*0.6^($G$20*EXP(-A16/$G$22))</f>
        <v>1.1549302574322056</v>
      </c>
      <c r="E16" s="1">
        <v>0</v>
      </c>
    </row>
    <row r="17" spans="1:7" ht="15.75">
      <c r="A17" s="1">
        <v>2.3</v>
      </c>
      <c r="B17" s="1">
        <v>1.248</v>
      </c>
      <c r="C17" s="1">
        <f aca="true" t="shared" si="1" ref="C17:C32">B17*(1+($I$28+$I$29*A17)/(1282900)+($I$30+A17*$I$31-$I$32)/400)</f>
        <v>1.2168683726894127</v>
      </c>
      <c r="D17" s="15">
        <f t="shared" si="0"/>
        <v>1.1671763264897494</v>
      </c>
      <c r="E17" s="1">
        <f>E16+(A17-A16)/D17</f>
        <v>1.9705677264010197</v>
      </c>
      <c r="G17" s="2" t="s">
        <v>14</v>
      </c>
    </row>
    <row r="18" spans="1:7" ht="15.75">
      <c r="A18" s="1">
        <v>5.3</v>
      </c>
      <c r="B18" s="1">
        <v>0.648</v>
      </c>
      <c r="C18" s="1">
        <f t="shared" si="1"/>
        <v>0.6320042842548456</v>
      </c>
      <c r="D18" s="15">
        <f t="shared" si="0"/>
        <v>1.1826750190141675</v>
      </c>
      <c r="E18" s="1">
        <f aca="true" t="shared" si="2" ref="E18:E33">E17+(A18-A17)/D18</f>
        <v>4.507190172777443</v>
      </c>
      <c r="G18" s="2">
        <v>1.55</v>
      </c>
    </row>
    <row r="19" spans="1:7" ht="15.75">
      <c r="A19" s="1">
        <v>7.8</v>
      </c>
      <c r="B19" s="1">
        <v>1.287</v>
      </c>
      <c r="C19" s="1">
        <f t="shared" si="1"/>
        <v>1.2555100828053876</v>
      </c>
      <c r="D19" s="15">
        <f t="shared" si="0"/>
        <v>1.1951860285102</v>
      </c>
      <c r="E19" s="1">
        <f t="shared" si="2"/>
        <v>6.598914758209763</v>
      </c>
      <c r="G19" s="2" t="s">
        <v>15</v>
      </c>
    </row>
    <row r="20" spans="1:7" ht="15.75">
      <c r="A20" s="1">
        <v>10.25</v>
      </c>
      <c r="B20" s="1">
        <v>1.453</v>
      </c>
      <c r="C20" s="1">
        <f t="shared" si="1"/>
        <v>1.4177575215235443</v>
      </c>
      <c r="D20" s="15">
        <f t="shared" si="0"/>
        <v>1.2070955309181977</v>
      </c>
      <c r="E20" s="1">
        <f t="shared" si="2"/>
        <v>8.628580130374935</v>
      </c>
      <c r="G20" s="2">
        <v>0.31</v>
      </c>
    </row>
    <row r="21" spans="1:7" ht="15.75">
      <c r="A21" s="1">
        <v>13.25</v>
      </c>
      <c r="B21" s="1">
        <v>1.243</v>
      </c>
      <c r="C21" s="1">
        <f t="shared" si="1"/>
        <v>1.2131748275597474</v>
      </c>
      <c r="D21" s="15">
        <f t="shared" si="0"/>
        <v>1.2212129761593897</v>
      </c>
      <c r="E21" s="1">
        <f t="shared" si="2"/>
        <v>11.085154092956584</v>
      </c>
      <c r="G21" s="2" t="s">
        <v>16</v>
      </c>
    </row>
    <row r="22" spans="1:7" ht="15.75">
      <c r="A22" s="1">
        <v>16.25</v>
      </c>
      <c r="B22" s="1">
        <v>1.668</v>
      </c>
      <c r="C22" s="1">
        <f t="shared" si="1"/>
        <v>1.6284116220779634</v>
      </c>
      <c r="D22" s="15">
        <f t="shared" si="0"/>
        <v>1.2348276597760897</v>
      </c>
      <c r="E22" s="1">
        <f t="shared" si="2"/>
        <v>13.514642917772825</v>
      </c>
      <c r="G22" s="2">
        <v>63</v>
      </c>
    </row>
    <row r="23" spans="1:5" ht="15.75">
      <c r="A23" s="1">
        <v>19.75</v>
      </c>
      <c r="B23" s="1">
        <v>1.31</v>
      </c>
      <c r="C23" s="1">
        <f t="shared" si="1"/>
        <v>1.2793064896503528</v>
      </c>
      <c r="D23" s="15">
        <f t="shared" si="0"/>
        <v>1.2500906856576455</v>
      </c>
      <c r="E23" s="1">
        <f t="shared" si="2"/>
        <v>16.31443979663584</v>
      </c>
    </row>
    <row r="24" spans="1:5" ht="15.75">
      <c r="A24" s="1">
        <v>22.75</v>
      </c>
      <c r="B24" s="1">
        <v>1.537</v>
      </c>
      <c r="C24" s="1">
        <f t="shared" si="1"/>
        <v>1.5013881820105874</v>
      </c>
      <c r="D24" s="15">
        <f t="shared" si="0"/>
        <v>1.2626542561666856</v>
      </c>
      <c r="E24" s="1">
        <f t="shared" si="2"/>
        <v>18.69038711978331</v>
      </c>
    </row>
    <row r="25" spans="1:5" ht="15.75">
      <c r="A25" s="1">
        <v>25.75</v>
      </c>
      <c r="B25" s="1">
        <v>1.368</v>
      </c>
      <c r="C25" s="1">
        <f t="shared" si="1"/>
        <v>1.3366601798846776</v>
      </c>
      <c r="D25" s="15">
        <f t="shared" si="0"/>
        <v>1.274751158532413</v>
      </c>
      <c r="E25" s="1">
        <f t="shared" si="2"/>
        <v>21.04378760890608</v>
      </c>
    </row>
    <row r="26" spans="1:7" ht="15.75">
      <c r="A26" s="1">
        <v>29.6</v>
      </c>
      <c r="B26" s="1">
        <v>1.297</v>
      </c>
      <c r="C26" s="1">
        <f t="shared" si="1"/>
        <v>1.2677202789730873</v>
      </c>
      <c r="D26" s="15">
        <f t="shared" si="0"/>
        <v>1.2896111201524305</v>
      </c>
      <c r="E26" s="1">
        <f t="shared" si="2"/>
        <v>24.02918370222213</v>
      </c>
      <c r="G26" s="13" t="s">
        <v>17</v>
      </c>
    </row>
    <row r="27" spans="1:5" ht="15.75">
      <c r="A27" s="1">
        <v>32.6</v>
      </c>
      <c r="B27" s="1">
        <v>1.346</v>
      </c>
      <c r="C27" s="1">
        <f t="shared" si="1"/>
        <v>1.3159646954971616</v>
      </c>
      <c r="D27" s="15">
        <f t="shared" si="0"/>
        <v>1.3006879108965195</v>
      </c>
      <c r="E27" s="1">
        <f t="shared" si="2"/>
        <v>26.335655512152464</v>
      </c>
    </row>
    <row r="28" spans="1:9" ht="15.75">
      <c r="A28" s="1">
        <v>34.83</v>
      </c>
      <c r="B28" s="1">
        <v>1.3</v>
      </c>
      <c r="C28" s="1">
        <f t="shared" si="1"/>
        <v>1.2712428606626898</v>
      </c>
      <c r="D28" s="15">
        <f t="shared" si="0"/>
        <v>1.3086446177607554</v>
      </c>
      <c r="E28" s="1">
        <f t="shared" si="2"/>
        <v>28.0397086750469</v>
      </c>
      <c r="G28" s="2" t="s">
        <v>18</v>
      </c>
      <c r="I28" s="1">
        <v>1097</v>
      </c>
    </row>
    <row r="29" spans="1:9" ht="15.75">
      <c r="A29" s="1">
        <v>39.1</v>
      </c>
      <c r="B29" s="1">
        <v>1.254</v>
      </c>
      <c r="C29" s="1">
        <f t="shared" si="1"/>
        <v>1.226725319304741</v>
      </c>
      <c r="D29" s="15">
        <f t="shared" si="0"/>
        <v>1.3232410672705246</v>
      </c>
      <c r="E29" s="1">
        <f t="shared" si="2"/>
        <v>31.26663391612018</v>
      </c>
      <c r="G29" s="2" t="s">
        <v>19</v>
      </c>
      <c r="I29" s="1">
        <v>1.8</v>
      </c>
    </row>
    <row r="30" spans="1:9" ht="15.75">
      <c r="A30" s="1">
        <v>42.1</v>
      </c>
      <c r="B30" s="1">
        <v>1.352</v>
      </c>
      <c r="C30" s="1">
        <f t="shared" si="1"/>
        <v>1.3229459574744447</v>
      </c>
      <c r="D30" s="15">
        <f t="shared" si="0"/>
        <v>1.3330099523620604</v>
      </c>
      <c r="E30" s="1">
        <f t="shared" si="2"/>
        <v>33.51717975389437</v>
      </c>
      <c r="G30" s="2" t="s">
        <v>20</v>
      </c>
      <c r="I30" s="1">
        <f>B3</f>
        <v>4.6</v>
      </c>
    </row>
    <row r="31" spans="1:9" ht="15.75">
      <c r="A31" s="1">
        <v>45.1</v>
      </c>
      <c r="B31" s="1">
        <v>1.345</v>
      </c>
      <c r="C31" s="1">
        <f t="shared" si="1"/>
        <v>1.3164467142267415</v>
      </c>
      <c r="D31" s="15">
        <f t="shared" si="0"/>
        <v>1.3423917134341228</v>
      </c>
      <c r="E31" s="1">
        <f t="shared" si="2"/>
        <v>35.75199688661144</v>
      </c>
      <c r="G31" s="2" t="s">
        <v>21</v>
      </c>
      <c r="I31" s="1">
        <f>F9/1000</f>
        <v>0.034167794316644164</v>
      </c>
    </row>
    <row r="32" spans="1:9" ht="15.75">
      <c r="A32" s="1">
        <v>48.7</v>
      </c>
      <c r="B32" s="1">
        <v>1.32</v>
      </c>
      <c r="C32" s="1">
        <f t="shared" si="1"/>
        <v>1.2923900252362424</v>
      </c>
      <c r="D32" s="15">
        <f aca="true" t="shared" si="3" ref="D32:D47">$G$18^(1-$G$20*EXP(-A32/$G$22))*0.6^($G$20*EXP(-A32/$G$22))</f>
        <v>1.353156178194405</v>
      </c>
      <c r="E32" s="1">
        <f t="shared" si="2"/>
        <v>38.412443668743926</v>
      </c>
      <c r="G32" s="2" t="s">
        <v>22</v>
      </c>
      <c r="I32" s="1">
        <v>15</v>
      </c>
    </row>
    <row r="33" spans="1:5" ht="15.75">
      <c r="A33" s="1">
        <v>51.7</v>
      </c>
      <c r="B33" s="1">
        <v>1.445</v>
      </c>
      <c r="C33" s="1">
        <f aca="true" t="shared" si="4" ref="C33:C48">B33*(1+($I$28+$I$29*A33)/(1282900)+($I$30+A33*$I$31-$I$32)/400)</f>
        <v>1.4151518200771198</v>
      </c>
      <c r="D33" s="15">
        <f t="shared" si="3"/>
        <v>1.3617295121904915</v>
      </c>
      <c r="E33" s="1">
        <f t="shared" si="2"/>
        <v>40.6155243636568</v>
      </c>
    </row>
    <row r="34" spans="1:5" ht="15.75">
      <c r="A34" s="1">
        <v>54</v>
      </c>
      <c r="B34" s="1">
        <v>1.27</v>
      </c>
      <c r="C34" s="1">
        <f t="shared" si="4"/>
        <v>1.244020260244545</v>
      </c>
      <c r="D34" s="15">
        <f t="shared" si="3"/>
        <v>1.3680660306320418</v>
      </c>
      <c r="E34" s="1">
        <f aca="true" t="shared" si="5" ref="E34:E49">E33+(A34-A33)/D34</f>
        <v>42.29672976493221</v>
      </c>
    </row>
    <row r="35" spans="1:5" ht="15.75">
      <c r="A35" s="1">
        <v>58.16</v>
      </c>
      <c r="B35" s="1">
        <v>1.468</v>
      </c>
      <c r="C35" s="1">
        <f t="shared" si="4"/>
        <v>1.4385000905578922</v>
      </c>
      <c r="D35" s="15">
        <f t="shared" si="3"/>
        <v>1.3790244036789059</v>
      </c>
      <c r="E35" s="1">
        <f t="shared" si="5"/>
        <v>45.3133551334914</v>
      </c>
    </row>
    <row r="36" spans="1:5" ht="15.75">
      <c r="A36" s="1">
        <v>61.16</v>
      </c>
      <c r="B36" s="1">
        <v>1.293</v>
      </c>
      <c r="C36" s="1">
        <f t="shared" si="4"/>
        <v>1.2673535538342422</v>
      </c>
      <c r="D36" s="15">
        <f t="shared" si="3"/>
        <v>1.386540100518919</v>
      </c>
      <c r="E36" s="1">
        <f t="shared" si="5"/>
        <v>47.47701415704019</v>
      </c>
    </row>
    <row r="37" spans="1:5" ht="15.75">
      <c r="A37" s="1">
        <v>64.16</v>
      </c>
      <c r="B37" s="1">
        <v>1.425</v>
      </c>
      <c r="C37" s="1">
        <f t="shared" si="4"/>
        <v>1.397106521584745</v>
      </c>
      <c r="D37" s="15">
        <f t="shared" si="3"/>
        <v>1.3937444390731555</v>
      </c>
      <c r="E37" s="1">
        <f t="shared" si="5"/>
        <v>49.62948911291876</v>
      </c>
    </row>
    <row r="38" spans="1:5" ht="15.75">
      <c r="A38" s="1">
        <v>68</v>
      </c>
      <c r="B38" s="1">
        <v>1.13</v>
      </c>
      <c r="C38" s="1">
        <f t="shared" si="4"/>
        <v>1.1082577014151274</v>
      </c>
      <c r="D38" s="15">
        <f t="shared" si="3"/>
        <v>1.4025294904012666</v>
      </c>
      <c r="E38" s="1">
        <f t="shared" si="5"/>
        <v>52.36739945725054</v>
      </c>
    </row>
    <row r="39" spans="1:5" ht="15.75">
      <c r="A39" s="1">
        <v>71</v>
      </c>
      <c r="B39" s="1">
        <v>1.225</v>
      </c>
      <c r="C39" s="1">
        <f t="shared" si="4"/>
        <v>1.2017488819530446</v>
      </c>
      <c r="D39" s="15">
        <f t="shared" si="3"/>
        <v>1.4090653969064204</v>
      </c>
      <c r="E39" s="1">
        <f t="shared" si="5"/>
        <v>54.496470263038866</v>
      </c>
    </row>
    <row r="40" spans="1:5" ht="15.75">
      <c r="A40" s="1">
        <v>74</v>
      </c>
      <c r="B40" s="1">
        <v>1.336</v>
      </c>
      <c r="C40" s="1">
        <f t="shared" si="4"/>
        <v>1.3109900307587121</v>
      </c>
      <c r="D40" s="15">
        <f t="shared" si="3"/>
        <v>1.4153257280457132</v>
      </c>
      <c r="E40" s="1">
        <f t="shared" si="5"/>
        <v>56.61612366900246</v>
      </c>
    </row>
    <row r="41" spans="1:5" ht="15.75">
      <c r="A41" s="1">
        <v>77.6</v>
      </c>
      <c r="B41" s="1">
        <v>1.764</v>
      </c>
      <c r="C41" s="1">
        <f t="shared" si="4"/>
        <v>1.731529212949518</v>
      </c>
      <c r="D41" s="15">
        <f t="shared" si="3"/>
        <v>1.4224889238779659</v>
      </c>
      <c r="E41" s="1">
        <f t="shared" si="5"/>
        <v>59.146899086350345</v>
      </c>
    </row>
    <row r="42" spans="1:5" ht="15.75">
      <c r="A42" s="1">
        <v>80.6</v>
      </c>
      <c r="B42" s="1">
        <v>1.553</v>
      </c>
      <c r="C42" s="1">
        <f t="shared" si="4"/>
        <v>1.5248176966050018</v>
      </c>
      <c r="D42" s="15">
        <f t="shared" si="3"/>
        <v>1.428179047753357</v>
      </c>
      <c r="E42" s="1">
        <f t="shared" si="5"/>
        <v>61.247476044624065</v>
      </c>
    </row>
    <row r="43" spans="1:5" ht="15.75">
      <c r="A43" s="1">
        <v>83.6</v>
      </c>
      <c r="B43" s="1">
        <v>1.344</v>
      </c>
      <c r="C43" s="1">
        <f t="shared" si="4"/>
        <v>1.3199604898227555</v>
      </c>
      <c r="D43" s="15">
        <f t="shared" si="3"/>
        <v>1.4336257603118143</v>
      </c>
      <c r="E43" s="1">
        <f t="shared" si="5"/>
        <v>63.3400723714001</v>
      </c>
    </row>
    <row r="44" spans="1:5" ht="15.75">
      <c r="A44" s="1">
        <v>87.2</v>
      </c>
      <c r="B44" s="1">
        <v>1.203</v>
      </c>
      <c r="C44" s="1">
        <f t="shared" si="4"/>
        <v>1.181858503136205</v>
      </c>
      <c r="D44" s="15">
        <f t="shared" si="3"/>
        <v>1.4398538226214157</v>
      </c>
      <c r="E44" s="1">
        <f t="shared" si="5"/>
        <v>65.84032617733563</v>
      </c>
    </row>
    <row r="45" spans="1:5" ht="15.75">
      <c r="A45" s="1">
        <v>90.2</v>
      </c>
      <c r="B45" s="1">
        <v>1.252</v>
      </c>
      <c r="C45" s="1">
        <f t="shared" si="4"/>
        <v>1.2303234836839763</v>
      </c>
      <c r="D45" s="15">
        <f t="shared" si="3"/>
        <v>1.4447979588064792</v>
      </c>
      <c r="E45" s="1">
        <f t="shared" si="5"/>
        <v>67.91674107099885</v>
      </c>
    </row>
    <row r="46" spans="1:5" ht="15.75">
      <c r="A46" s="1">
        <v>93.2</v>
      </c>
      <c r="B46" s="1">
        <v>1.378</v>
      </c>
      <c r="C46" s="1">
        <f t="shared" si="4"/>
        <v>1.3545009056936925</v>
      </c>
      <c r="D46" s="15">
        <f t="shared" si="3"/>
        <v>1.4495279879502658</v>
      </c>
      <c r="E46" s="1">
        <f t="shared" si="5"/>
        <v>69.98638030869458</v>
      </c>
    </row>
    <row r="47" spans="1:5" ht="15.75">
      <c r="A47" s="1">
        <v>96.7</v>
      </c>
      <c r="B47" s="1">
        <v>1.319</v>
      </c>
      <c r="C47" s="1">
        <f t="shared" si="4"/>
        <v>1.2969078516099468</v>
      </c>
      <c r="D47" s="15">
        <f t="shared" si="3"/>
        <v>1.4547871621596595</v>
      </c>
      <c r="E47" s="1">
        <f t="shared" si="5"/>
        <v>72.39223051897838</v>
      </c>
    </row>
    <row r="48" spans="1:5" ht="15.75">
      <c r="A48" s="1">
        <v>99.7</v>
      </c>
      <c r="B48" s="1">
        <v>1.505</v>
      </c>
      <c r="C48" s="1">
        <f t="shared" si="4"/>
        <v>1.480184510799156</v>
      </c>
      <c r="D48" s="15">
        <f aca="true" t="shared" si="6" ref="D48:D63">$G$18^(1-$G$20*EXP(-A48/$G$22))*0.6^($G$20*EXP(-A48/$G$22))</f>
        <v>1.4590823126390522</v>
      </c>
      <c r="E48" s="1">
        <f t="shared" si="5"/>
        <v>74.44831739907625</v>
      </c>
    </row>
    <row r="49" spans="1:5" ht="15.75">
      <c r="A49" s="1">
        <v>102.7</v>
      </c>
      <c r="B49" s="1">
        <v>1.424</v>
      </c>
      <c r="C49" s="1">
        <f aca="true" t="shared" si="7" ref="C49:C64">B49*(1+($I$28+$I$29*A49)/(1282900)+($I$30+A49*$I$31-$I$32)/400)</f>
        <v>1.4008910012310996</v>
      </c>
      <c r="D49" s="15">
        <f t="shared" si="6"/>
        <v>1.4631895352589632</v>
      </c>
      <c r="E49" s="1">
        <f t="shared" si="5"/>
        <v>76.49863277361112</v>
      </c>
    </row>
    <row r="50" spans="1:5" ht="15.75">
      <c r="A50" s="1">
        <v>115.1</v>
      </c>
      <c r="B50" s="1">
        <v>2.014</v>
      </c>
      <c r="C50" s="1">
        <f t="shared" si="7"/>
        <v>1.9834846176507581</v>
      </c>
      <c r="D50" s="15">
        <f t="shared" si="6"/>
        <v>1.478334779554534</v>
      </c>
      <c r="E50" s="1">
        <f aca="true" t="shared" si="8" ref="E50:E65">E49+(A50-A49)/D50</f>
        <v>84.88644869426238</v>
      </c>
    </row>
    <row r="51" spans="1:5" ht="15.75">
      <c r="A51" s="1">
        <v>118.1</v>
      </c>
      <c r="B51" s="1">
        <v>1.777</v>
      </c>
      <c r="C51" s="1">
        <f t="shared" si="7"/>
        <v>1.750538404956507</v>
      </c>
      <c r="D51" s="15">
        <f t="shared" si="6"/>
        <v>1.4815927560365603</v>
      </c>
      <c r="E51" s="1">
        <f t="shared" si="8"/>
        <v>86.91129660727822</v>
      </c>
    </row>
    <row r="52" spans="1:5" ht="15.75">
      <c r="A52" s="1">
        <v>121.5</v>
      </c>
      <c r="B52" s="1">
        <v>1.65</v>
      </c>
      <c r="C52" s="1">
        <f t="shared" si="7"/>
        <v>1.6259166570871575</v>
      </c>
      <c r="D52" s="15">
        <f t="shared" si="6"/>
        <v>1.485110391747698</v>
      </c>
      <c r="E52" s="1">
        <f t="shared" si="8"/>
        <v>89.20068870829155</v>
      </c>
    </row>
    <row r="53" spans="1:5" ht="15.75">
      <c r="A53" s="1">
        <v>124.8</v>
      </c>
      <c r="B53" s="1">
        <v>1.645</v>
      </c>
      <c r="C53" s="1">
        <f t="shared" si="7"/>
        <v>1.6214609531646154</v>
      </c>
      <c r="D53" s="15">
        <f t="shared" si="6"/>
        <v>1.4883551193062428</v>
      </c>
      <c r="E53" s="1">
        <f t="shared" si="8"/>
        <v>91.41790149386533</v>
      </c>
    </row>
    <row r="54" spans="1:5" ht="15.75">
      <c r="A54" s="1">
        <v>127.8</v>
      </c>
      <c r="B54" s="1">
        <v>1.408</v>
      </c>
      <c r="C54" s="1">
        <f t="shared" si="7"/>
        <v>1.388219031523619</v>
      </c>
      <c r="D54" s="15">
        <f t="shared" si="6"/>
        <v>1.4911666699793964</v>
      </c>
      <c r="E54" s="1">
        <f t="shared" si="8"/>
        <v>93.42974903605956</v>
      </c>
    </row>
    <row r="55" spans="1:5" ht="15.75">
      <c r="A55" s="1">
        <v>132.39</v>
      </c>
      <c r="B55" s="1">
        <v>1.53</v>
      </c>
      <c r="C55" s="1">
        <f t="shared" si="7"/>
        <v>1.5091147843326398</v>
      </c>
      <c r="D55" s="15">
        <f t="shared" si="6"/>
        <v>1.4952267220463842</v>
      </c>
      <c r="E55" s="1">
        <f t="shared" si="8"/>
        <v>96.49951760849255</v>
      </c>
    </row>
    <row r="56" spans="1:5" ht="15.75">
      <c r="A56" s="1">
        <v>137.5</v>
      </c>
      <c r="B56" s="1">
        <v>2.217</v>
      </c>
      <c r="C56" s="1">
        <f t="shared" si="7"/>
        <v>2.1877205144448126</v>
      </c>
      <c r="D56" s="15">
        <f t="shared" si="6"/>
        <v>1.4994236171880475</v>
      </c>
      <c r="E56" s="1">
        <f t="shared" si="8"/>
        <v>99.90749380776244</v>
      </c>
    </row>
    <row r="57" spans="1:5" ht="15.75">
      <c r="A57" s="1">
        <v>144.2</v>
      </c>
      <c r="B57" s="1">
        <v>1.439</v>
      </c>
      <c r="C57" s="1">
        <f t="shared" si="7"/>
        <v>1.4208324906567376</v>
      </c>
      <c r="D57" s="15">
        <f t="shared" si="6"/>
        <v>1.504450475149597</v>
      </c>
      <c r="E57" s="1">
        <f t="shared" si="8"/>
        <v>104.3609471521364</v>
      </c>
    </row>
    <row r="58" spans="1:5" ht="15.75">
      <c r="A58" s="1">
        <v>152.03</v>
      </c>
      <c r="B58" s="1">
        <v>1.44</v>
      </c>
      <c r="C58" s="1">
        <f t="shared" si="7"/>
        <v>1.4227988072575972</v>
      </c>
      <c r="D58" s="15">
        <f t="shared" si="6"/>
        <v>1.5097041167346485</v>
      </c>
      <c r="E58" s="1">
        <f t="shared" si="8"/>
        <v>109.54739389571128</v>
      </c>
    </row>
    <row r="59" spans="1:5" ht="15.75">
      <c r="A59" s="1">
        <v>162.28</v>
      </c>
      <c r="B59" s="1">
        <v>1.59</v>
      </c>
      <c r="C59" s="1">
        <f t="shared" si="7"/>
        <v>1.5724220069689612</v>
      </c>
      <c r="D59" s="15">
        <f t="shared" si="6"/>
        <v>1.5156871310655808</v>
      </c>
      <c r="E59" s="1">
        <f t="shared" si="8"/>
        <v>116.31000326931854</v>
      </c>
    </row>
    <row r="60" spans="1:5" ht="15.75">
      <c r="A60" s="1">
        <v>191.17</v>
      </c>
      <c r="B60" s="1">
        <v>1.56</v>
      </c>
      <c r="C60" s="1">
        <f t="shared" si="7"/>
        <v>1.5466666209408584</v>
      </c>
      <c r="D60" s="15">
        <f t="shared" si="6"/>
        <v>1.528218664006023</v>
      </c>
      <c r="E60" s="1">
        <f t="shared" si="8"/>
        <v>135.21436602868224</v>
      </c>
    </row>
    <row r="61" spans="1:5" ht="15.75">
      <c r="A61" s="1">
        <v>200.92</v>
      </c>
      <c r="B61" s="1">
        <v>1.69</v>
      </c>
      <c r="C61" s="1">
        <f t="shared" si="7"/>
        <v>1.6769861247015465</v>
      </c>
      <c r="D61" s="15">
        <f t="shared" si="6"/>
        <v>1.5313227930006053</v>
      </c>
      <c r="E61" s="1">
        <f t="shared" si="8"/>
        <v>141.58141028908602</v>
      </c>
    </row>
    <row r="62" spans="1:5" ht="15.75">
      <c r="A62" s="1">
        <v>210.63</v>
      </c>
      <c r="B62" s="1">
        <v>1.48</v>
      </c>
      <c r="C62" s="1">
        <f t="shared" si="7"/>
        <v>1.4698509430679827</v>
      </c>
      <c r="D62" s="15">
        <f t="shared" si="6"/>
        <v>1.5339767450694248</v>
      </c>
      <c r="E62" s="1">
        <f t="shared" si="8"/>
        <v>147.91136283315836</v>
      </c>
    </row>
    <row r="63" spans="1:5" ht="15.75">
      <c r="A63" s="1">
        <v>221.44</v>
      </c>
      <c r="B63" s="1">
        <v>1.4</v>
      </c>
      <c r="C63" s="1">
        <f t="shared" si="7"/>
        <v>1.3917135133169936</v>
      </c>
      <c r="D63" s="15">
        <f t="shared" si="6"/>
        <v>1.536492140331467</v>
      </c>
      <c r="E63" s="1">
        <f t="shared" si="8"/>
        <v>154.94686904646576</v>
      </c>
    </row>
    <row r="64" spans="1:5" ht="15.75">
      <c r="A64" s="1">
        <v>231.51</v>
      </c>
      <c r="B64" s="1">
        <v>1.36</v>
      </c>
      <c r="C64" s="1">
        <f t="shared" si="7"/>
        <v>1.3531393223614232</v>
      </c>
      <c r="D64" s="15">
        <f aca="true" t="shared" si="9" ref="D64:D79">$G$18^(1-$G$20*EXP(-A64/$G$22))*0.6^($G$20*EXP(-A64/$G$22))</f>
        <v>1.5384800989372613</v>
      </c>
      <c r="E64" s="1">
        <f t="shared" si="8"/>
        <v>161.49229008048243</v>
      </c>
    </row>
    <row r="65" spans="1:5" ht="15.75">
      <c r="A65" s="1">
        <v>240.65</v>
      </c>
      <c r="B65" s="1">
        <v>1.3</v>
      </c>
      <c r="C65" s="1">
        <f aca="true" t="shared" si="10" ref="C65:C80">B65*(1+($I$28+$I$29*A65)/(1282900)+($I$30+A65*$I$31-$I$32)/400)</f>
        <v>1.2944736249378468</v>
      </c>
      <c r="D65" s="15">
        <f t="shared" si="9"/>
        <v>1.5400308050105909</v>
      </c>
      <c r="E65" s="1">
        <f t="shared" si="8"/>
        <v>167.42723629731293</v>
      </c>
    </row>
    <row r="66" spans="1:5" ht="15.75">
      <c r="A66" s="1">
        <v>248.76</v>
      </c>
      <c r="B66" s="1">
        <v>1.34</v>
      </c>
      <c r="C66" s="1">
        <f t="shared" si="10"/>
        <v>1.3352471180837333</v>
      </c>
      <c r="D66" s="15">
        <f t="shared" si="9"/>
        <v>1.541231559394012</v>
      </c>
      <c r="E66" s="1">
        <f aca="true" t="shared" si="11" ref="E66:E81">E65+(A66-A65)/D66</f>
        <v>172.68926194853222</v>
      </c>
    </row>
    <row r="67" spans="1:5" ht="15.75">
      <c r="A67" s="1">
        <v>258.48</v>
      </c>
      <c r="B67" s="1">
        <v>1.52</v>
      </c>
      <c r="C67" s="1">
        <f t="shared" si="10"/>
        <v>1.5158914224446878</v>
      </c>
      <c r="D67" s="15">
        <f t="shared" si="9"/>
        <v>1.5424821630168104</v>
      </c>
      <c r="E67" s="1">
        <f t="shared" si="11"/>
        <v>178.99079348844288</v>
      </c>
    </row>
    <row r="68" spans="1:5" ht="15.75">
      <c r="A68" s="1">
        <v>271.08</v>
      </c>
      <c r="B68" s="1">
        <v>1.36</v>
      </c>
      <c r="C68" s="1">
        <f t="shared" si="10"/>
        <v>1.3578116956286561</v>
      </c>
      <c r="D68" s="15">
        <f t="shared" si="9"/>
        <v>1.5438422047235763</v>
      </c>
      <c r="E68" s="1">
        <f t="shared" si="11"/>
        <v>187.15224934283572</v>
      </c>
    </row>
    <row r="69" spans="1:5" ht="15.75">
      <c r="A69" s="1">
        <v>277.4</v>
      </c>
      <c r="B69" s="1">
        <v>1.49</v>
      </c>
      <c r="C69" s="1">
        <f t="shared" si="10"/>
        <v>1.4884201101298795</v>
      </c>
      <c r="D69" s="15">
        <f t="shared" si="9"/>
        <v>1.5444289073527986</v>
      </c>
      <c r="E69" s="1">
        <f t="shared" si="11"/>
        <v>191.24437684052202</v>
      </c>
    </row>
    <row r="70" spans="1:5" ht="15.75">
      <c r="A70" s="1">
        <v>280.44</v>
      </c>
      <c r="B70" s="1">
        <v>1.59</v>
      </c>
      <c r="C70" s="1">
        <f t="shared" si="10"/>
        <v>1.5887337427640047</v>
      </c>
      <c r="D70" s="15">
        <f t="shared" si="9"/>
        <v>1.5446909017740542</v>
      </c>
      <c r="E70" s="1">
        <f t="shared" si="11"/>
        <v>193.21240811235035</v>
      </c>
    </row>
    <row r="71" spans="1:5" ht="15.75">
      <c r="A71" s="1">
        <v>296.95</v>
      </c>
      <c r="B71" s="1">
        <v>1.71</v>
      </c>
      <c r="C71" s="1">
        <f t="shared" si="10"/>
        <v>1.7110893592904641</v>
      </c>
      <c r="D71" s="15">
        <f t="shared" si="9"/>
        <v>1.545913234594722</v>
      </c>
      <c r="E71" s="1">
        <f t="shared" si="11"/>
        <v>203.89217954488373</v>
      </c>
    </row>
    <row r="72" spans="1:5" ht="15.75">
      <c r="A72" s="1">
        <v>297.68</v>
      </c>
      <c r="B72" s="1">
        <v>1.68</v>
      </c>
      <c r="C72" s="1">
        <f t="shared" si="10"/>
        <v>1.6811767269078186</v>
      </c>
      <c r="D72" s="15">
        <f t="shared" si="9"/>
        <v>1.5459602544713278</v>
      </c>
      <c r="E72" s="1">
        <f t="shared" si="11"/>
        <v>204.3643779716471</v>
      </c>
    </row>
    <row r="73" spans="1:5" ht="15.75">
      <c r="A73" s="1">
        <v>302.37</v>
      </c>
      <c r="B73" s="1">
        <v>1.31</v>
      </c>
      <c r="C73" s="1">
        <f t="shared" si="10"/>
        <v>1.311450995922723</v>
      </c>
      <c r="D73" s="15">
        <f t="shared" si="9"/>
        <v>1.5462497187800528</v>
      </c>
      <c r="E73" s="1">
        <f t="shared" si="11"/>
        <v>207.3975232282233</v>
      </c>
    </row>
    <row r="74" spans="1:5" ht="15.75">
      <c r="A74" s="1">
        <v>307.67</v>
      </c>
      <c r="B74" s="1">
        <v>1.62</v>
      </c>
      <c r="C74" s="1">
        <f t="shared" si="10"/>
        <v>1.6225398198441303</v>
      </c>
      <c r="D74" s="15">
        <f t="shared" si="9"/>
        <v>1.5465519752316377</v>
      </c>
      <c r="E74" s="1">
        <f t="shared" si="11"/>
        <v>210.82450149011208</v>
      </c>
    </row>
    <row r="75" spans="1:5" ht="15.75">
      <c r="A75" s="1">
        <v>316.66</v>
      </c>
      <c r="B75" s="1">
        <v>1.52</v>
      </c>
      <c r="C75" s="1">
        <f t="shared" si="10"/>
        <v>1.5235694537177324</v>
      </c>
      <c r="D75" s="15">
        <f t="shared" si="9"/>
        <v>1.5470100664859037</v>
      </c>
      <c r="E75" s="1">
        <f t="shared" si="11"/>
        <v>216.63571125193423</v>
      </c>
    </row>
    <row r="76" spans="1:5" ht="15.75">
      <c r="A76" s="1">
        <v>327.33</v>
      </c>
      <c r="B76" s="1">
        <v>1.86</v>
      </c>
      <c r="C76" s="1">
        <f t="shared" si="10"/>
        <v>1.8660909819845033</v>
      </c>
      <c r="D76" s="15">
        <f t="shared" si="9"/>
        <v>1.5474755166199448</v>
      </c>
      <c r="E76" s="1">
        <f t="shared" si="11"/>
        <v>223.5308122634874</v>
      </c>
    </row>
    <row r="77" spans="1:5" ht="15.75">
      <c r="A77" s="1">
        <v>336.49</v>
      </c>
      <c r="B77" s="1">
        <v>1.55</v>
      </c>
      <c r="C77" s="1">
        <f t="shared" si="10"/>
        <v>1.5563085249841164</v>
      </c>
      <c r="D77" s="15">
        <f t="shared" si="9"/>
        <v>1.5478168912898336</v>
      </c>
      <c r="E77" s="1">
        <f t="shared" si="11"/>
        <v>229.44882495061267</v>
      </c>
    </row>
    <row r="78" spans="1:5" ht="15.75">
      <c r="A78" s="1">
        <v>346.39</v>
      </c>
      <c r="B78" s="1">
        <v>1.51</v>
      </c>
      <c r="C78" s="1">
        <f t="shared" si="10"/>
        <v>1.5174436347433375</v>
      </c>
      <c r="D78" s="15">
        <f t="shared" si="9"/>
        <v>1.5481341635054118</v>
      </c>
      <c r="E78" s="1">
        <f t="shared" si="11"/>
        <v>235.84361955780847</v>
      </c>
    </row>
    <row r="79" spans="1:5" ht="15.75">
      <c r="A79" s="1">
        <v>368.22</v>
      </c>
      <c r="B79" s="1">
        <v>2.28</v>
      </c>
      <c r="C79" s="1">
        <f t="shared" si="10"/>
        <v>2.2955607625404575</v>
      </c>
      <c r="D79" s="15">
        <f t="shared" si="9"/>
        <v>1.5486803350561238</v>
      </c>
      <c r="E79" s="1">
        <f t="shared" si="11"/>
        <v>249.9394917051157</v>
      </c>
    </row>
    <row r="80" spans="1:5" ht="15.75">
      <c r="A80" s="1">
        <v>376.82</v>
      </c>
      <c r="B80" s="1">
        <v>2.01</v>
      </c>
      <c r="C80" s="1">
        <f t="shared" si="10"/>
        <v>2.0252188553802513</v>
      </c>
      <c r="D80" s="15">
        <f>$G$18^(1-$G$20*EXP(-A80/$G$22))*0.6^($G$20*EXP(-A80/$G$22))</f>
        <v>1.5488486625429285</v>
      </c>
      <c r="E80" s="1">
        <f t="shared" si="11"/>
        <v>255.49200319831758</v>
      </c>
    </row>
    <row r="81" spans="1:5" ht="15.75">
      <c r="A81" s="1">
        <v>386.36</v>
      </c>
      <c r="B81" s="1">
        <v>2.07</v>
      </c>
      <c r="C81" s="1">
        <f>B81*(1+($I$28+$I$29*A81)/(1282900)+($I$30+A81*$I$31-$I$32)/400)</f>
        <v>2.0873877040610114</v>
      </c>
      <c r="D81" s="15">
        <f>$G$18^(1-$G$20*EXP(-A81/$G$22))*0.6^($G$20*EXP(-A81/$G$22))</f>
        <v>1.5490103976626648</v>
      </c>
      <c r="E81" s="1">
        <f t="shared" si="11"/>
        <v>261.65077399443044</v>
      </c>
    </row>
    <row r="82" spans="1:5" ht="15.75">
      <c r="A82" s="1">
        <v>400.13</v>
      </c>
      <c r="B82" s="1">
        <v>2.39</v>
      </c>
      <c r="C82" s="1">
        <f>B82*(1+($I$28+$I$29*A82)/(1282900)+($I$30+A82*$I$31-$I$32)/400)</f>
        <v>2.41293301470826</v>
      </c>
      <c r="D82" s="15">
        <f>$G$18^(1-$G$20*EXP(-A82/$G$22))*0.6^($G$20*EXP(-A82/$G$22))</f>
        <v>1.549204640317302</v>
      </c>
      <c r="E82" s="1">
        <f>E81+(A82-A81)/D82</f>
        <v>270.539205930175</v>
      </c>
    </row>
    <row r="83" spans="1:5" ht="15.75">
      <c r="A83" s="1">
        <v>404.63</v>
      </c>
      <c r="B83" s="1">
        <v>2.3</v>
      </c>
      <c r="C83" s="1">
        <f>B83*(1+($I$28+$I$29*A83)/(1282900)+($I$30+A83*$I$31-$I$32)/400)</f>
        <v>2.3229680418448546</v>
      </c>
      <c r="D83" s="15">
        <f>$G$18^(1-$G$20*EXP(-A83/$G$22))*0.6^($G$20*EXP(-A83/$G$22))</f>
        <v>1.5492594571027725</v>
      </c>
      <c r="E83" s="1">
        <f>E82+(A83-A82)/D83</f>
        <v>273.44381947270927</v>
      </c>
    </row>
    <row r="84" ht="15.75">
      <c r="E84" s="2"/>
    </row>
    <row r="85" spans="2:5" ht="15.75">
      <c r="B85" s="1" t="s">
        <v>23</v>
      </c>
      <c r="E85" s="2"/>
    </row>
    <row r="86" spans="2:5" ht="15.75">
      <c r="B86" s="1" t="s">
        <v>23</v>
      </c>
      <c r="E86" s="2"/>
    </row>
    <row r="87" spans="2:5" ht="15.75">
      <c r="B87" s="1" t="s">
        <v>23</v>
      </c>
      <c r="E87" s="2"/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201" ht="15.75">
      <c r="E201" s="2"/>
    </row>
    <row r="202" ht="15.75">
      <c r="E202" s="2"/>
    </row>
    <row r="203" ht="15.75">
      <c r="E203" s="2"/>
    </row>
    <row r="204" ht="15.75">
      <c r="E204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