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05" windowWidth="15105" windowHeight="9585" activeTab="0"/>
  </bookViews>
  <sheets>
    <sheet name="902 C" sheetId="1" r:id="rId1"/>
    <sheet name="903 A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<sst xmlns="http://schemas.openxmlformats.org/spreadsheetml/2006/main" count="44" uniqueCount="22">
  <si>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</si>
  <si>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</si>
  <si>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</si>
  <si>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</si>
  <si>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</si>
  <si>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</si>
  <si>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</si>
  <si>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</si>
  <si>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</si>
  <si>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</si>
  <si>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</si>
  <si>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</si>
  <si>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</si>
  <si>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</si>
  <si>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</si>
  <si>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B</t>
  </si>
  <si>
    <t>insitu corr.</t>
  </si>
  <si>
    <t>water depth (m)</t>
  </si>
  <si>
    <t>sediment dens. (g/cm3)</t>
  </si>
  <si>
    <t>T bottom water</t>
  </si>
  <si>
    <t>mean gradient</t>
  </si>
  <si>
    <t>lab T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</si>
</sst>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4" fillId="2" borderId="0" xfId="0" applyNumberFormat="1" applyFont="1" applyFill="1" applyAlignment="1">
      <alignment/>
    </xf>
    <xf numFmtId="173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workbookViewId="0" topLeftCell="A1">
      <selection activeCell="E25" sqref="E25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13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  <c r="L1" s="2"/>
      <c r="M1" s="2"/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1000*1/SLOPE(C3:C21,B3:B21)</f>
        <v>52.242686086754624</v>
      </c>
      <c r="G3" s="1">
        <f>INTERCEPT(B4:B21,A4:A21)</f>
        <v>4.110362577907745</v>
      </c>
    </row>
    <row r="4" spans="1:9" ht="15.75">
      <c r="A4" s="1">
        <v>22</v>
      </c>
      <c r="B4" s="1">
        <v>5.4</v>
      </c>
      <c r="C4" s="1">
        <f>LN($G$26+$G$28*A4)/$G$28-LN($G$26)/$G$28</f>
        <v>18.138430803984136</v>
      </c>
      <c r="E4" s="5"/>
      <c r="F4" s="5" t="s">
        <v>7</v>
      </c>
      <c r="I4" s="6">
        <f>SLOPE(E4:E21,A4:A21)*1000</f>
        <v>1932.8509225437913</v>
      </c>
    </row>
    <row r="5" spans="1:9" ht="15.75">
      <c r="A5" s="1">
        <v>24.5</v>
      </c>
      <c r="B5" s="1">
        <v>5.015</v>
      </c>
      <c r="C5" s="1">
        <f aca="true" t="shared" si="0" ref="C5:C20">LN($G$26+$G$28*A5)/$G$28-LN($G$26)/$G$28</f>
        <v>20.186453856617618</v>
      </c>
      <c r="E5" s="5">
        <f aca="true" t="shared" si="1" ref="E5:E19">1000*1/SLOPE(C4:C5,B4:B5)</f>
        <v>-187.98616524605305</v>
      </c>
      <c r="F5" s="7">
        <f>CORREL(C3:C9,B3:B9)</f>
        <v>0.8192281233739588</v>
      </c>
      <c r="I5" s="6"/>
    </row>
    <row r="6" spans="1:5" ht="15.75">
      <c r="A6" s="1">
        <v>34</v>
      </c>
      <c r="B6" s="1">
        <v>5.273</v>
      </c>
      <c r="C6" s="1">
        <f t="shared" si="0"/>
        <v>27.944731581139536</v>
      </c>
      <c r="E6" s="5">
        <f t="shared" si="1"/>
        <v>33.25480334178686</v>
      </c>
    </row>
    <row r="7" spans="1:6" ht="15.75">
      <c r="A7" s="1">
        <v>43.5</v>
      </c>
      <c r="B7" s="1">
        <v>6.3</v>
      </c>
      <c r="C7" s="1">
        <f t="shared" si="0"/>
        <v>35.66496055483367</v>
      </c>
      <c r="E7" s="5">
        <f t="shared" si="1"/>
        <v>133.02714252379957</v>
      </c>
      <c r="F7" s="8"/>
    </row>
    <row r="8" spans="1:6" ht="15.75">
      <c r="A8" s="1">
        <v>45</v>
      </c>
      <c r="B8" s="1">
        <v>5.845</v>
      </c>
      <c r="C8" s="1">
        <f t="shared" si="0"/>
        <v>36.880490431316446</v>
      </c>
      <c r="E8" s="5">
        <f t="shared" si="1"/>
        <v>-374.32235011495777</v>
      </c>
      <c r="F8" s="4" t="s">
        <v>8</v>
      </c>
    </row>
    <row r="9" spans="1:6" ht="15.75">
      <c r="A9" s="1">
        <v>50</v>
      </c>
      <c r="B9" s="1">
        <v>5.987</v>
      </c>
      <c r="C9" s="1">
        <f t="shared" si="0"/>
        <v>40.92549133741488</v>
      </c>
      <c r="E9" s="5">
        <f t="shared" si="1"/>
        <v>35.10506012146284</v>
      </c>
      <c r="F9" s="4">
        <f>1000*SLOPE(B3:B21,A3:A21)</f>
        <v>38.8254388393657</v>
      </c>
    </row>
    <row r="10" spans="1:6" ht="15.75">
      <c r="A10" s="1">
        <v>60</v>
      </c>
      <c r="B10" s="1">
        <v>5.688</v>
      </c>
      <c r="C10" s="1">
        <f t="shared" si="0"/>
        <v>48.98444416224271</v>
      </c>
      <c r="E10" s="5">
        <f t="shared" si="1"/>
        <v>-37.10159452463774</v>
      </c>
      <c r="F10" s="5" t="s">
        <v>9</v>
      </c>
    </row>
    <row r="11" spans="1:6" ht="15.75">
      <c r="A11" s="1">
        <v>69.5</v>
      </c>
      <c r="B11" s="1">
        <v>6.801</v>
      </c>
      <c r="C11" s="1">
        <f t="shared" si="0"/>
        <v>56.60242284301506</v>
      </c>
      <c r="E11" s="5">
        <f t="shared" si="1"/>
        <v>146.1017478047252</v>
      </c>
      <c r="F11" s="7">
        <f>CORREL(B3:B9,A3:A9)</f>
        <v>0.8193914531510186</v>
      </c>
    </row>
    <row r="12" spans="1:6" ht="15.75">
      <c r="A12" s="1">
        <v>78.5</v>
      </c>
      <c r="B12" s="1">
        <v>7.506</v>
      </c>
      <c r="C12" s="1">
        <f t="shared" si="0"/>
        <v>63.785606881566935</v>
      </c>
      <c r="E12" s="5">
        <f t="shared" si="1"/>
        <v>98.14589132287979</v>
      </c>
      <c r="F12" s="7"/>
    </row>
    <row r="13" spans="1:6" ht="15.75">
      <c r="A13" s="1">
        <v>79</v>
      </c>
      <c r="B13" s="1">
        <v>7.217</v>
      </c>
      <c r="C13" s="1">
        <f t="shared" si="0"/>
        <v>64.18371320997824</v>
      </c>
      <c r="E13" s="5">
        <f t="shared" si="1"/>
        <v>-725.9367143288155</v>
      </c>
      <c r="F13" s="7"/>
    </row>
    <row r="14" spans="1:6" ht="15.75">
      <c r="A14" s="1">
        <v>88.5</v>
      </c>
      <c r="B14" s="1">
        <v>7.326</v>
      </c>
      <c r="C14" s="1">
        <f t="shared" si="0"/>
        <v>71.72866695313968</v>
      </c>
      <c r="E14" s="5">
        <f t="shared" si="1"/>
        <v>14.446741982837612</v>
      </c>
      <c r="F14" s="7"/>
    </row>
    <row r="15" spans="1:5" ht="15.75">
      <c r="A15" s="1">
        <v>98</v>
      </c>
      <c r="B15" s="1">
        <v>7.298</v>
      </c>
      <c r="C15" s="1">
        <f t="shared" si="0"/>
        <v>79.23763072972827</v>
      </c>
      <c r="E15" s="5">
        <f t="shared" si="1"/>
        <v>-3.728876691170756</v>
      </c>
    </row>
    <row r="16" spans="1:5" ht="15.75">
      <c r="A16" s="1">
        <v>107.5</v>
      </c>
      <c r="B16" s="1">
        <v>8.083</v>
      </c>
      <c r="C16" s="1">
        <f t="shared" si="0"/>
        <v>86.71094625976679</v>
      </c>
      <c r="E16" s="5">
        <f t="shared" si="1"/>
        <v>105.04039296143692</v>
      </c>
    </row>
    <row r="17" spans="1:5" ht="15.75">
      <c r="A17" s="1">
        <v>117</v>
      </c>
      <c r="B17" s="1">
        <v>9.4</v>
      </c>
      <c r="C17" s="1">
        <f t="shared" si="0"/>
        <v>94.14895041938388</v>
      </c>
      <c r="E17" s="5">
        <f t="shared" si="1"/>
        <v>177.06362778744693</v>
      </c>
    </row>
    <row r="18" spans="1:5" ht="15.75">
      <c r="A18" s="1">
        <v>126.5</v>
      </c>
      <c r="B18" s="1">
        <v>8.42</v>
      </c>
      <c r="C18" s="1">
        <f t="shared" si="0"/>
        <v>101.55197533193444</v>
      </c>
      <c r="E18" s="5">
        <f t="shared" si="1"/>
        <v>-132.3783198863163</v>
      </c>
    </row>
    <row r="19" spans="1:5" ht="15.75">
      <c r="A19" s="1">
        <v>131</v>
      </c>
      <c r="B19" s="1">
        <v>9.174</v>
      </c>
      <c r="C19" s="1">
        <f t="shared" si="0"/>
        <v>105.04655693627461</v>
      </c>
      <c r="E19" s="5">
        <f t="shared" si="1"/>
        <v>215.76259631873498</v>
      </c>
    </row>
    <row r="20" spans="1:6" ht="15.75">
      <c r="A20" s="1">
        <v>135</v>
      </c>
      <c r="B20" s="1">
        <v>9.596</v>
      </c>
      <c r="C20" s="1">
        <f t="shared" si="0"/>
        <v>108.14635239455913</v>
      </c>
      <c r="E20" s="5">
        <f>1000*1/SLOPE(C19:C20,B19:B20)</f>
        <v>136.13801480753665</v>
      </c>
      <c r="F20" s="7"/>
    </row>
    <row r="21" spans="1:6" ht="15.75">
      <c r="A21" s="1">
        <v>140</v>
      </c>
      <c r="B21" s="1">
        <v>9.935</v>
      </c>
      <c r="C21" s="1">
        <f>LN($G$26+$G$28*A21)/$G$28-LN($G$26)/$G$28</f>
        <v>112.01253272494819</v>
      </c>
      <c r="E21" s="5">
        <f>1000*1/SLOPE(C20:C21,B20:B21)</f>
        <v>87.68344232043461</v>
      </c>
      <c r="F21" s="7"/>
    </row>
    <row r="22" spans="1:9" ht="15.75">
      <c r="A22" s="9"/>
      <c r="B22" s="9"/>
      <c r="C22" s="9"/>
      <c r="D22" s="16"/>
      <c r="E22" s="9"/>
      <c r="F22" s="10"/>
      <c r="G22" s="10"/>
      <c r="H22" s="10"/>
      <c r="I22" s="10"/>
    </row>
    <row r="23" spans="1:9" s="3" customFormat="1" ht="15.75">
      <c r="A23" s="11"/>
      <c r="B23" s="1"/>
      <c r="C23" s="11" t="s">
        <v>10</v>
      </c>
      <c r="D23" s="17" t="s">
        <v>11</v>
      </c>
      <c r="E23" s="1" t="s">
        <v>12</v>
      </c>
      <c r="F23" s="2"/>
      <c r="G23" s="2" t="s">
        <v>13</v>
      </c>
      <c r="H23" s="2"/>
      <c r="I23" s="2"/>
    </row>
    <row r="24" spans="1:5" ht="15.75">
      <c r="A24" s="12">
        <v>0</v>
      </c>
      <c r="D24" s="15">
        <f>G$26+G$28*A24</f>
        <v>1.20592001645444</v>
      </c>
      <c r="E24" s="1">
        <v>0</v>
      </c>
    </row>
    <row r="25" spans="1:7" ht="15.75">
      <c r="A25" s="1">
        <v>22</v>
      </c>
      <c r="B25" s="1">
        <v>1.4</v>
      </c>
      <c r="C25" s="1">
        <f aca="true" t="shared" si="2" ref="C25:C39">B25*(1+($I$36+$I$37*A25)/(1282900)+($I$38+A25*$I$39-$I$40)/400)</f>
        <v>1.3514341686588984</v>
      </c>
      <c r="D25" s="15">
        <f aca="true" t="shared" si="3" ref="D25:D40">G$26+G$28*A25</f>
        <v>1.2198954955799333</v>
      </c>
      <c r="E25" s="1">
        <f>E24+(A25-A24)/D25</f>
        <v>18.034331694569698</v>
      </c>
      <c r="G25" s="2" t="s">
        <v>14</v>
      </c>
    </row>
    <row r="26" spans="1:7" ht="15.75">
      <c r="A26" s="1">
        <v>24.5</v>
      </c>
      <c r="B26" s="1">
        <v>1.3</v>
      </c>
      <c r="C26" s="1">
        <f t="shared" si="2"/>
        <v>1.2552231732836965</v>
      </c>
      <c r="D26" s="15">
        <f t="shared" si="3"/>
        <v>1.2214836182078301</v>
      </c>
      <c r="E26" s="1">
        <f aca="true" t="shared" si="4" ref="E26:E42">E25+(A26-A25)/D26</f>
        <v>20.081023080957685</v>
      </c>
      <c r="G26" s="1">
        <f>INTERCEPT(C24:C1009,A24:A1009)</f>
        <v>1.20592001645444</v>
      </c>
    </row>
    <row r="27" spans="1:7" ht="15.75">
      <c r="A27" s="1">
        <v>34</v>
      </c>
      <c r="B27" s="1">
        <v>1.1</v>
      </c>
      <c r="C27" s="1">
        <f t="shared" si="2"/>
        <v>1.063140892538808</v>
      </c>
      <c r="D27" s="15">
        <f t="shared" si="3"/>
        <v>1.2275184841938387</v>
      </c>
      <c r="E27" s="1">
        <f t="shared" si="4"/>
        <v>27.82021407671612</v>
      </c>
      <c r="G27" s="2" t="s">
        <v>15</v>
      </c>
    </row>
    <row r="28" spans="1:7" ht="15.75">
      <c r="A28" s="1">
        <v>43.5</v>
      </c>
      <c r="B28" s="1">
        <v>1.4</v>
      </c>
      <c r="C28" s="1">
        <f t="shared" si="2"/>
        <v>1.354398015373684</v>
      </c>
      <c r="D28" s="15">
        <f t="shared" si="3"/>
        <v>1.2335533501798472</v>
      </c>
      <c r="E28" s="1">
        <f t="shared" si="4"/>
        <v>35.52154292367271</v>
      </c>
      <c r="G28" s="13">
        <f>SLOPE(C24:C1009,A24:A1009)</f>
        <v>0.0006352490511587875</v>
      </c>
    </row>
    <row r="29" spans="1:5" ht="15.75">
      <c r="A29" s="1">
        <v>45</v>
      </c>
      <c r="B29" s="1">
        <v>1.4</v>
      </c>
      <c r="C29" s="1">
        <f t="shared" si="2"/>
        <v>1.354604795377041</v>
      </c>
      <c r="D29" s="15">
        <f t="shared" si="3"/>
        <v>1.2345062237565854</v>
      </c>
      <c r="E29" s="1">
        <f t="shared" si="4"/>
        <v>36.73660362659531</v>
      </c>
    </row>
    <row r="30" spans="1:5" ht="15.75">
      <c r="A30" s="1">
        <v>50</v>
      </c>
      <c r="B30" s="1">
        <v>1.5</v>
      </c>
      <c r="C30" s="1">
        <f t="shared" si="2"/>
        <v>1.4521007807731052</v>
      </c>
      <c r="D30" s="15">
        <f t="shared" si="3"/>
        <v>1.2376824690123793</v>
      </c>
      <c r="E30" s="1">
        <f t="shared" si="4"/>
        <v>40.7764119984387</v>
      </c>
    </row>
    <row r="31" spans="1:5" ht="15.75">
      <c r="A31" s="1">
        <v>60</v>
      </c>
      <c r="B31" s="1">
        <v>1.1</v>
      </c>
      <c r="C31" s="1">
        <f t="shared" si="2"/>
        <v>1.0659570392511957</v>
      </c>
      <c r="D31" s="15">
        <f t="shared" si="3"/>
        <v>1.2440349595239673</v>
      </c>
      <c r="E31" s="1">
        <f t="shared" si="4"/>
        <v>48.814771309359124</v>
      </c>
    </row>
    <row r="32" spans="1:5" ht="15.75">
      <c r="A32" s="1">
        <v>69.5</v>
      </c>
      <c r="B32" s="1">
        <v>1.2</v>
      </c>
      <c r="C32" s="1">
        <f t="shared" si="2"/>
        <v>1.1639847446558922</v>
      </c>
      <c r="D32" s="15">
        <f t="shared" si="3"/>
        <v>1.2500698255099756</v>
      </c>
      <c r="E32" s="1">
        <f t="shared" si="4"/>
        <v>56.41434679397207</v>
      </c>
    </row>
    <row r="33" spans="1:5" ht="15.75">
      <c r="A33" s="1">
        <v>78.5</v>
      </c>
      <c r="B33" s="1">
        <v>1.1</v>
      </c>
      <c r="C33" s="1">
        <f t="shared" si="2"/>
        <v>1.0679608359503943</v>
      </c>
      <c r="D33" s="15">
        <f t="shared" si="3"/>
        <v>1.2557870669704048</v>
      </c>
      <c r="E33" s="1">
        <f t="shared" si="4"/>
        <v>63.581166899639</v>
      </c>
    </row>
    <row r="34" spans="1:7" ht="15.75">
      <c r="A34" s="1">
        <v>79</v>
      </c>
      <c r="B34" s="1">
        <v>1.1</v>
      </c>
      <c r="C34" s="1">
        <f t="shared" si="2"/>
        <v>1.0680149926179405</v>
      </c>
      <c r="D34" s="15">
        <f t="shared" si="3"/>
        <v>1.2561046914959841</v>
      </c>
      <c r="E34" s="1">
        <f t="shared" si="4"/>
        <v>63.9792228924118</v>
      </c>
      <c r="G34" s="14" t="s">
        <v>16</v>
      </c>
    </row>
    <row r="35" spans="1:5" ht="15.75">
      <c r="A35" s="1">
        <v>88.5</v>
      </c>
      <c r="B35" s="1">
        <v>1.2</v>
      </c>
      <c r="C35" s="1">
        <f t="shared" si="2"/>
        <v>1.166229784692341</v>
      </c>
      <c r="D35" s="15">
        <f t="shared" si="3"/>
        <v>1.2621395574819927</v>
      </c>
      <c r="E35" s="1">
        <f t="shared" si="4"/>
        <v>71.50612429066351</v>
      </c>
    </row>
    <row r="36" spans="1:9" ht="15.75">
      <c r="A36" s="1">
        <v>98</v>
      </c>
      <c r="B36" s="1">
        <v>1.2</v>
      </c>
      <c r="C36" s="1">
        <f t="shared" si="2"/>
        <v>1.1673523047105656</v>
      </c>
      <c r="D36" s="15">
        <f t="shared" si="3"/>
        <v>1.268174423468001</v>
      </c>
      <c r="E36" s="1">
        <f t="shared" si="4"/>
        <v>78.99720739737127</v>
      </c>
      <c r="G36" s="2" t="s">
        <v>17</v>
      </c>
      <c r="I36" s="1">
        <v>826</v>
      </c>
    </row>
    <row r="37" spans="1:9" ht="15.75">
      <c r="A37" s="1">
        <v>107.5</v>
      </c>
      <c r="B37" s="1">
        <v>1.4</v>
      </c>
      <c r="C37" s="1">
        <f t="shared" si="2"/>
        <v>1.3632206288502549</v>
      </c>
      <c r="D37" s="15">
        <f t="shared" si="3"/>
        <v>1.2742092894540096</v>
      </c>
      <c r="E37" s="1">
        <f t="shared" si="4"/>
        <v>86.45281149524337</v>
      </c>
      <c r="G37" s="2" t="s">
        <v>18</v>
      </c>
      <c r="I37" s="1">
        <v>1.8</v>
      </c>
    </row>
    <row r="38" spans="1:9" ht="15.75">
      <c r="A38" s="1">
        <v>117</v>
      </c>
      <c r="B38" s="1">
        <v>1.3</v>
      </c>
      <c r="C38" s="1">
        <f t="shared" si="2"/>
        <v>1.2670637901425992</v>
      </c>
      <c r="D38" s="15">
        <f t="shared" si="3"/>
        <v>1.2802441554400181</v>
      </c>
      <c r="E38" s="1">
        <f t="shared" si="4"/>
        <v>93.87327106901495</v>
      </c>
      <c r="G38" s="2" t="s">
        <v>19</v>
      </c>
      <c r="I38" s="1">
        <f>B3</f>
        <v>0</v>
      </c>
    </row>
    <row r="39" spans="1:9" ht="15.75">
      <c r="A39" s="1">
        <v>126.5</v>
      </c>
      <c r="B39" s="1">
        <v>1.6</v>
      </c>
      <c r="C39" s="1">
        <f t="shared" si="2"/>
        <v>1.5609598196869852</v>
      </c>
      <c r="D39" s="15">
        <f t="shared" si="3"/>
        <v>1.2862790214260265</v>
      </c>
      <c r="E39" s="1">
        <f t="shared" si="4"/>
        <v>101.25891589549114</v>
      </c>
      <c r="G39" s="2" t="s">
        <v>20</v>
      </c>
      <c r="I39" s="1">
        <f>F9/1000</f>
        <v>0.038825438839365706</v>
      </c>
    </row>
    <row r="40" spans="1:9" ht="15.75">
      <c r="A40" s="1">
        <v>131</v>
      </c>
      <c r="B40" s="1">
        <v>1.6</v>
      </c>
      <c r="C40" s="1">
        <f>B40*(1+($I$36+$I$37*A40)/(1282900)+($I$38+A40*$I$39-$I$40)/400)</f>
        <v>1.5616687796984954</v>
      </c>
      <c r="D40" s="15">
        <f t="shared" si="3"/>
        <v>1.289137642156241</v>
      </c>
      <c r="E40" s="1">
        <f t="shared" si="4"/>
        <v>104.74962150585033</v>
      </c>
      <c r="G40" s="2" t="s">
        <v>21</v>
      </c>
      <c r="I40" s="1">
        <v>15</v>
      </c>
    </row>
    <row r="41" spans="1:5" ht="15.75">
      <c r="A41" s="1">
        <v>135</v>
      </c>
      <c r="B41" s="1">
        <v>1.2</v>
      </c>
      <c r="C41" s="1">
        <f>B41*(1+($I$36+$I$37*A41)/(1282900)+($I$38+A41*$I$39-$I$40)/400)</f>
        <v>1.171724224781545</v>
      </c>
      <c r="D41" s="15">
        <f>G$26+G$28*A41</f>
        <v>1.2916786383608763</v>
      </c>
      <c r="E41" s="1">
        <f t="shared" si="4"/>
        <v>107.84636699749673</v>
      </c>
    </row>
    <row r="42" spans="1:5" ht="15.75">
      <c r="A42" s="1">
        <v>140</v>
      </c>
      <c r="B42" s="1">
        <v>1.2</v>
      </c>
      <c r="C42" s="1">
        <f>B42*(1+($I$36+$I$37*A42)/(1282900)+($I$38+A42*$I$39-$I$40)/400)</f>
        <v>1.1723150247911367</v>
      </c>
      <c r="D42" s="15">
        <f>G$26+G$28*A42</f>
        <v>1.2948548836166702</v>
      </c>
      <c r="E42" s="1">
        <f t="shared" si="4"/>
        <v>111.70780356715653</v>
      </c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workbookViewId="0" topLeftCell="A1">
      <selection activeCell="A1" sqref="A1"/>
    </sheetView>
  </sheetViews>
  <sheetFormatPr defaultColWidth="11.00390625" defaultRowHeight="12.75"/>
  <cols>
    <col min="1" max="3" width="11.00390625" style="1" customWidth="1"/>
    <col min="4" max="4" width="11.00390625" style="15" customWidth="1"/>
    <col min="5" max="5" width="11.00390625" style="1" customWidth="1"/>
    <col min="6" max="6" width="13.375" style="2" bestFit="1" customWidth="1"/>
    <col min="7" max="16384" width="11.00390625" style="2" customWidth="1"/>
  </cols>
  <sheetData>
    <row r="1" spans="1:9" s="3" customFormat="1" ht="15.75">
      <c r="A1" s="1" t="s">
        <v>0</v>
      </c>
      <c r="B1" s="1" t="s">
        <v>1</v>
      </c>
      <c r="C1" s="1" t="s">
        <v>2</v>
      </c>
      <c r="D1" s="15"/>
      <c r="E1" s="2"/>
      <c r="F1" s="2"/>
      <c r="G1" s="1" t="s">
        <v>3</v>
      </c>
      <c r="I1" s="2" t="s">
        <v>4</v>
      </c>
    </row>
    <row r="2" spans="5:7" ht="15.75">
      <c r="E2" s="3" t="s">
        <v>5</v>
      </c>
      <c r="F2" s="4" t="s">
        <v>6</v>
      </c>
      <c r="G2" s="1"/>
    </row>
    <row r="3" spans="1:7" ht="15.75">
      <c r="A3" s="1">
        <v>0</v>
      </c>
      <c r="C3" s="1">
        <v>0</v>
      </c>
      <c r="E3" s="2"/>
      <c r="F3" s="4">
        <f>1000*1/SLOPE(C3:C21,B3:B21)</f>
        <v>38.86408914835338</v>
      </c>
      <c r="G3" s="1">
        <f>INTERCEPT(B4:B21,A4:A21)</f>
        <v>6.713181992266975</v>
      </c>
    </row>
    <row r="4" spans="1:9" ht="15.75">
      <c r="A4" s="1">
        <v>28.5</v>
      </c>
      <c r="B4" s="1">
        <v>6.5</v>
      </c>
      <c r="C4" s="1">
        <f>LN($G$26+$G$28*A4)/$G$28-LN($G$26)/$G$28</f>
        <v>23.643854332485887</v>
      </c>
      <c r="E4" s="5"/>
      <c r="F4" s="5" t="s">
        <v>7</v>
      </c>
      <c r="I4" s="6">
        <f>SLOPE(E4:E21,A4:A21)*1000</f>
        <v>92.36801625331806</v>
      </c>
    </row>
    <row r="5" spans="1:9" ht="15.75">
      <c r="A5" s="1">
        <v>38</v>
      </c>
      <c r="B5" s="1">
        <v>8.5</v>
      </c>
      <c r="C5" s="1">
        <f aca="true" t="shared" si="0" ref="C5:C16">LN($G$26+$G$28*A5)/$G$28-LN($G$26)/$G$28</f>
        <v>31.429550789815863</v>
      </c>
      <c r="E5" s="5">
        <f aca="true" t="shared" si="1" ref="E5:E16">1000*1/SLOPE(C4:C5,B4:B5)</f>
        <v>256.88132217344196</v>
      </c>
      <c r="F5" s="7">
        <f>CORREL(C3:C9,B3:B9)</f>
        <v>0.28938432470474534</v>
      </c>
      <c r="I5" s="6"/>
    </row>
    <row r="6" spans="1:5" ht="15.75">
      <c r="A6" s="1">
        <v>47.5</v>
      </c>
      <c r="B6" s="1">
        <v>7.641</v>
      </c>
      <c r="C6" s="1">
        <f t="shared" si="0"/>
        <v>39.16841241968277</v>
      </c>
      <c r="E6" s="5">
        <f t="shared" si="1"/>
        <v>-110.99823734861948</v>
      </c>
    </row>
    <row r="7" spans="1:6" ht="15.75">
      <c r="A7" s="1">
        <v>57</v>
      </c>
      <c r="B7" s="1">
        <v>7.644</v>
      </c>
      <c r="C7" s="1">
        <f t="shared" si="0"/>
        <v>46.86099932392861</v>
      </c>
      <c r="E7" s="5">
        <f t="shared" si="1"/>
        <v>0.3899858447145227</v>
      </c>
      <c r="F7" s="8"/>
    </row>
    <row r="8" spans="1:6" ht="15.75">
      <c r="A8" s="1">
        <v>66.5</v>
      </c>
      <c r="B8" s="1">
        <v>8.02</v>
      </c>
      <c r="C8" s="1">
        <f t="shared" si="0"/>
        <v>54.507861616626286</v>
      </c>
      <c r="E8" s="5">
        <f t="shared" si="1"/>
        <v>49.17049446007434</v>
      </c>
      <c r="F8" s="4" t="s">
        <v>8</v>
      </c>
    </row>
    <row r="9" spans="1:6" ht="15.75">
      <c r="A9" s="1">
        <v>76</v>
      </c>
      <c r="B9" s="1">
        <v>7.5</v>
      </c>
      <c r="C9" s="1">
        <f t="shared" si="0"/>
        <v>62.10953966014827</v>
      </c>
      <c r="E9" s="5">
        <f t="shared" si="1"/>
        <v>-68.40594892638477</v>
      </c>
      <c r="F9" s="4">
        <f>1000*SLOPE(B3:B21,A3:A21)</f>
        <v>14.242763062741634</v>
      </c>
    </row>
    <row r="10" spans="1:6" ht="15.75">
      <c r="A10" s="1">
        <v>85.5</v>
      </c>
      <c r="B10" s="1">
        <v>7.3</v>
      </c>
      <c r="C10" s="1">
        <f t="shared" si="0"/>
        <v>69.66656429429989</v>
      </c>
      <c r="E10" s="5">
        <f t="shared" si="1"/>
        <v>-26.465442377409413</v>
      </c>
      <c r="F10" s="5" t="s">
        <v>9</v>
      </c>
    </row>
    <row r="11" spans="1:6" ht="15.75">
      <c r="A11" s="1">
        <v>95</v>
      </c>
      <c r="B11" s="1">
        <v>6.915</v>
      </c>
      <c r="C11" s="1">
        <f t="shared" si="0"/>
        <v>77.17945705876255</v>
      </c>
      <c r="E11" s="5">
        <f t="shared" si="1"/>
        <v>-51.245240957132076</v>
      </c>
      <c r="F11" s="7">
        <f>CORREL(B3:B9,A3:A9)</f>
        <v>0.28691832632204695</v>
      </c>
    </row>
    <row r="12" spans="1:6" ht="15.75">
      <c r="A12" s="1">
        <v>114</v>
      </c>
      <c r="B12" s="1">
        <v>8.327</v>
      </c>
      <c r="C12" s="1">
        <f t="shared" si="0"/>
        <v>92.07488792640837</v>
      </c>
      <c r="E12" s="5">
        <f t="shared" si="1"/>
        <v>94.79416960451641</v>
      </c>
      <c r="F12" s="7"/>
    </row>
    <row r="13" spans="1:6" ht="15.75">
      <c r="A13" s="1">
        <v>123.5</v>
      </c>
      <c r="B13" s="1">
        <v>8.111</v>
      </c>
      <c r="C13" s="1">
        <f t="shared" si="0"/>
        <v>99.4584245212524</v>
      </c>
      <c r="E13" s="5">
        <f t="shared" si="1"/>
        <v>-29.254273643132443</v>
      </c>
      <c r="F13" s="7"/>
    </row>
    <row r="14" spans="1:6" ht="15.75">
      <c r="A14" s="1">
        <v>133</v>
      </c>
      <c r="B14" s="1">
        <v>8.666</v>
      </c>
      <c r="C14" s="1">
        <f t="shared" si="0"/>
        <v>106.7998266313812</v>
      </c>
      <c r="E14" s="5">
        <f t="shared" si="1"/>
        <v>75.59863792697854</v>
      </c>
      <c r="F14" s="7"/>
    </row>
    <row r="15" spans="1:5" ht="15.75">
      <c r="A15" s="1">
        <v>142.5</v>
      </c>
      <c r="B15" s="1">
        <v>9.15</v>
      </c>
      <c r="C15" s="1">
        <f t="shared" si="0"/>
        <v>114.09957241413477</v>
      </c>
      <c r="E15" s="5">
        <f t="shared" si="1"/>
        <v>66.30367884091905</v>
      </c>
    </row>
    <row r="16" spans="1:5" ht="15.75">
      <c r="A16" s="1">
        <v>149</v>
      </c>
      <c r="B16" s="1">
        <v>9.462</v>
      </c>
      <c r="C16" s="1">
        <f t="shared" si="0"/>
        <v>119.07037654301982</v>
      </c>
      <c r="E16" s="5">
        <f t="shared" si="1"/>
        <v>62.76650455544772</v>
      </c>
    </row>
    <row r="17" ht="15.75">
      <c r="E17" s="2"/>
    </row>
    <row r="18" ht="15.75">
      <c r="E18" s="2"/>
    </row>
    <row r="19" ht="15.75">
      <c r="E19" s="2"/>
    </row>
    <row r="20" spans="5:6" ht="15.75">
      <c r="E20" s="2"/>
      <c r="F20" s="7"/>
    </row>
    <row r="21" spans="5:6" ht="15.75">
      <c r="E21" s="2"/>
      <c r="F21" s="7"/>
    </row>
    <row r="22" spans="1:9" ht="15.75">
      <c r="A22" s="9"/>
      <c r="B22" s="9"/>
      <c r="C22" s="9"/>
      <c r="D22" s="16"/>
      <c r="E22" s="9"/>
      <c r="F22" s="10"/>
      <c r="G22" s="10"/>
      <c r="H22" s="10"/>
      <c r="I22" s="10"/>
    </row>
    <row r="23" spans="1:9" s="3" customFormat="1" ht="15.75">
      <c r="A23" s="11"/>
      <c r="B23" s="1"/>
      <c r="C23" s="11" t="s">
        <v>10</v>
      </c>
      <c r="D23" s="17" t="s">
        <v>11</v>
      </c>
      <c r="E23" s="1" t="s">
        <v>12</v>
      </c>
      <c r="F23" s="2"/>
      <c r="G23" s="2" t="s">
        <v>13</v>
      </c>
      <c r="H23" s="2"/>
      <c r="I23" s="2"/>
    </row>
    <row r="24" spans="1:5" ht="15.75">
      <c r="A24" s="12">
        <v>0</v>
      </c>
      <c r="D24" s="15">
        <f>G$26+G$28*A24</f>
        <v>1.1943445182044798</v>
      </c>
      <c r="E24" s="1">
        <v>0</v>
      </c>
    </row>
    <row r="25" spans="1:7" ht="15.75">
      <c r="A25" s="1">
        <v>28.5</v>
      </c>
      <c r="B25" s="1">
        <v>1.2</v>
      </c>
      <c r="C25" s="1">
        <f aca="true" t="shared" si="2" ref="C25:C37">B25*(1+($I$36+$I$37*A25)/(1282900)+($I$38+A25*$I$39-$I$40)/400)</f>
        <v>1.1566922749105057</v>
      </c>
      <c r="D25" s="15">
        <f aca="true" t="shared" si="3" ref="D25:D37">G$26+G$28*A25</f>
        <v>1.2164977921387141</v>
      </c>
      <c r="E25" s="1">
        <f>E24+(A25-A24)/D25</f>
        <v>23.42790935106787</v>
      </c>
      <c r="G25" s="2" t="s">
        <v>14</v>
      </c>
    </row>
    <row r="26" spans="1:7" ht="15.75">
      <c r="A26" s="1">
        <v>38</v>
      </c>
      <c r="B26" s="1">
        <v>1.35</v>
      </c>
      <c r="C26" s="1">
        <f t="shared" si="2"/>
        <v>1.3017534622527336</v>
      </c>
      <c r="D26" s="15">
        <f t="shared" si="3"/>
        <v>1.2238822167834589</v>
      </c>
      <c r="E26" s="1">
        <f aca="true" t="shared" si="4" ref="E26:E37">E25+(A26-A25)/D26</f>
        <v>31.19009420000488</v>
      </c>
      <c r="G26" s="1">
        <f>INTERCEPT(C24:C1009,A24:A1009)</f>
        <v>1.1943445182044798</v>
      </c>
    </row>
    <row r="27" spans="1:7" ht="15.75">
      <c r="A27" s="1">
        <v>47.5</v>
      </c>
      <c r="B27" s="1">
        <v>1.3</v>
      </c>
      <c r="C27" s="1">
        <f t="shared" si="2"/>
        <v>1.253997444296661</v>
      </c>
      <c r="D27" s="15">
        <f t="shared" si="3"/>
        <v>1.2312666414282036</v>
      </c>
      <c r="E27" s="1">
        <f t="shared" si="4"/>
        <v>38.90572595705509</v>
      </c>
      <c r="G27" s="2" t="s">
        <v>15</v>
      </c>
    </row>
    <row r="28" spans="1:7" ht="15.75">
      <c r="A28" s="1">
        <v>57</v>
      </c>
      <c r="B28" s="1">
        <v>1.35</v>
      </c>
      <c r="C28" s="1">
        <f t="shared" si="2"/>
        <v>1.3027027682095624</v>
      </c>
      <c r="D28" s="15">
        <f t="shared" si="3"/>
        <v>1.2386510660729486</v>
      </c>
      <c r="E28" s="1">
        <f t="shared" si="4"/>
        <v>46.57535969024118</v>
      </c>
      <c r="G28" s="13">
        <f>SLOPE(C24:C1009,A24:A1009)</f>
        <v>0.0007773078573415556</v>
      </c>
    </row>
    <row r="29" spans="1:5" ht="15.75">
      <c r="A29" s="1">
        <v>66.5</v>
      </c>
      <c r="B29" s="1">
        <v>1.3</v>
      </c>
      <c r="C29" s="1">
        <f t="shared" si="2"/>
        <v>1.2549115907736075</v>
      </c>
      <c r="D29" s="15">
        <f t="shared" si="3"/>
        <v>1.2460354907176934</v>
      </c>
      <c r="E29" s="1">
        <f t="shared" si="4"/>
        <v>54.19954059902747</v>
      </c>
    </row>
    <row r="30" spans="1:5" ht="15.75">
      <c r="A30" s="1">
        <v>76</v>
      </c>
      <c r="B30" s="1">
        <v>1.25</v>
      </c>
      <c r="C30" s="1">
        <f t="shared" si="2"/>
        <v>1.2070852538577699</v>
      </c>
      <c r="D30" s="15">
        <f t="shared" si="3"/>
        <v>1.2534199153624381</v>
      </c>
      <c r="E30" s="1">
        <f t="shared" si="4"/>
        <v>61.77880424687927</v>
      </c>
    </row>
    <row r="31" spans="1:5" ht="15.75">
      <c r="A31" s="1">
        <v>85.5</v>
      </c>
      <c r="B31" s="1">
        <v>1.25</v>
      </c>
      <c r="C31" s="1">
        <f t="shared" si="2"/>
        <v>1.2075247473563016</v>
      </c>
      <c r="D31" s="15">
        <f t="shared" si="3"/>
        <v>1.2608043400071829</v>
      </c>
      <c r="E31" s="1">
        <f t="shared" si="4"/>
        <v>69.31367678701177</v>
      </c>
    </row>
    <row r="32" spans="1:5" ht="15.75">
      <c r="A32" s="1">
        <v>95</v>
      </c>
      <c r="B32" s="1">
        <v>1.3</v>
      </c>
      <c r="C32" s="1">
        <f t="shared" si="2"/>
        <v>1.2562828104890271</v>
      </c>
      <c r="D32" s="15">
        <f t="shared" si="3"/>
        <v>1.2681887646519276</v>
      </c>
      <c r="E32" s="1">
        <f t="shared" si="4"/>
        <v>76.80467518156655</v>
      </c>
    </row>
    <row r="33" spans="1:5" ht="15.75">
      <c r="A33" s="1">
        <v>114</v>
      </c>
      <c r="B33" s="1">
        <v>1.3</v>
      </c>
      <c r="C33" s="1">
        <f t="shared" si="2"/>
        <v>1.2571969569659736</v>
      </c>
      <c r="D33" s="15">
        <f t="shared" si="3"/>
        <v>1.2829576139414172</v>
      </c>
      <c r="E33" s="1">
        <f t="shared" si="4"/>
        <v>91.61420574869842</v>
      </c>
    </row>
    <row r="34" spans="1:7" ht="15.75">
      <c r="A34" s="1">
        <v>123.5</v>
      </c>
      <c r="B34" s="1">
        <v>1.2</v>
      </c>
      <c r="C34" s="1">
        <f t="shared" si="2"/>
        <v>1.1609114124964122</v>
      </c>
      <c r="D34" s="15">
        <f t="shared" si="3"/>
        <v>1.290342038586162</v>
      </c>
      <c r="E34" s="1">
        <f t="shared" si="4"/>
        <v>98.97659472457742</v>
      </c>
      <c r="G34" s="14" t="s">
        <v>16</v>
      </c>
    </row>
    <row r="35" spans="1:5" ht="15.75">
      <c r="A35" s="1">
        <v>133</v>
      </c>
      <c r="B35" s="1">
        <v>1.4</v>
      </c>
      <c r="C35" s="1">
        <f t="shared" si="2"/>
        <v>1.3548888806308368</v>
      </c>
      <c r="D35" s="15">
        <f t="shared" si="3"/>
        <v>1.2977264632309067</v>
      </c>
      <c r="E35" s="1">
        <f t="shared" si="4"/>
        <v>106.29708965873186</v>
      </c>
    </row>
    <row r="36" spans="1:9" ht="15.75">
      <c r="A36" s="1">
        <v>142.5</v>
      </c>
      <c r="B36" s="1">
        <v>1.4</v>
      </c>
      <c r="C36" s="1">
        <f t="shared" si="2"/>
        <v>1.3553811133491924</v>
      </c>
      <c r="D36" s="15">
        <f t="shared" si="3"/>
        <v>1.3051108878756514</v>
      </c>
      <c r="E36" s="1">
        <f t="shared" si="4"/>
        <v>113.57616463102275</v>
      </c>
      <c r="G36" s="2" t="s">
        <v>17</v>
      </c>
      <c r="I36" s="1">
        <v>456</v>
      </c>
    </row>
    <row r="37" spans="1:9" ht="15.75">
      <c r="A37" s="1">
        <v>149</v>
      </c>
      <c r="B37" s="1">
        <v>1.4</v>
      </c>
      <c r="C37" s="1">
        <f t="shared" si="2"/>
        <v>1.3557179041564886</v>
      </c>
      <c r="D37" s="15">
        <f t="shared" si="3"/>
        <v>1.3101633889483717</v>
      </c>
      <c r="E37" s="1">
        <f t="shared" si="4"/>
        <v>118.53737790780141</v>
      </c>
      <c r="G37" s="2" t="s">
        <v>18</v>
      </c>
      <c r="I37" s="1">
        <v>1.8</v>
      </c>
    </row>
    <row r="38" spans="5:9" ht="15.75">
      <c r="E38" s="2"/>
      <c r="G38" s="2" t="s">
        <v>19</v>
      </c>
      <c r="I38" s="1">
        <f>B3</f>
        <v>0</v>
      </c>
    </row>
    <row r="39" spans="5:9" ht="15.75">
      <c r="E39" s="2"/>
      <c r="G39" s="2" t="s">
        <v>20</v>
      </c>
      <c r="I39" s="1">
        <f>F9/1000</f>
        <v>0.014242763062741633</v>
      </c>
    </row>
    <row r="40" spans="5:9" ht="15.75">
      <c r="E40" s="2"/>
      <c r="G40" s="2" t="s">
        <v>21</v>
      </c>
      <c r="I40" s="1">
        <v>15</v>
      </c>
    </row>
    <row r="41" ht="15.75">
      <c r="E41" s="2"/>
    </row>
    <row r="42" ht="15.75">
      <c r="E42" s="2"/>
    </row>
    <row r="43" ht="15.75">
      <c r="E43" s="2"/>
    </row>
    <row r="44" ht="15.75">
      <c r="E44" s="2"/>
    </row>
    <row r="45" ht="15.75">
      <c r="E45" s="2"/>
    </row>
    <row r="46" ht="15.75">
      <c r="E46" s="2"/>
    </row>
    <row r="47" ht="15.75">
      <c r="E47" s="2"/>
    </row>
    <row r="48" ht="15.75">
      <c r="E48" s="2"/>
    </row>
    <row r="49" ht="15.75">
      <c r="E49" s="2"/>
    </row>
    <row r="50" ht="15.75">
      <c r="E50" s="2"/>
    </row>
    <row r="51" ht="15.75">
      <c r="E51" s="2"/>
    </row>
    <row r="52" ht="15.75">
      <c r="E52" s="2"/>
    </row>
    <row r="53" ht="15.75">
      <c r="E53" s="2"/>
    </row>
    <row r="54" ht="15.75">
      <c r="E54" s="2"/>
    </row>
    <row r="55" ht="15.75">
      <c r="E55" s="2"/>
    </row>
    <row r="56" ht="15.75">
      <c r="E56" s="2"/>
    </row>
    <row r="57" ht="15.75">
      <c r="E57" s="2"/>
    </row>
    <row r="58" ht="15.75">
      <c r="E58" s="2"/>
    </row>
    <row r="59" ht="15.75">
      <c r="E59" s="2"/>
    </row>
    <row r="60" ht="15.75">
      <c r="E60" s="2"/>
    </row>
    <row r="61" ht="15.75">
      <c r="E61" s="2"/>
    </row>
    <row r="62" ht="15.75">
      <c r="E62" s="2"/>
    </row>
    <row r="63" ht="15.75">
      <c r="E63" s="2"/>
    </row>
    <row r="64" ht="15.75">
      <c r="E64" s="2"/>
    </row>
    <row r="65" ht="15.75">
      <c r="E65" s="2"/>
    </row>
    <row r="66" ht="15.75">
      <c r="E66" s="2"/>
    </row>
    <row r="67" ht="15.75">
      <c r="E67" s="2"/>
    </row>
    <row r="68" ht="15.75">
      <c r="E68" s="2"/>
    </row>
    <row r="69" ht="15.75">
      <c r="E69" s="2"/>
    </row>
    <row r="70" ht="15.75">
      <c r="E70" s="2"/>
    </row>
    <row r="71" ht="15.75">
      <c r="E71" s="2"/>
    </row>
    <row r="72" ht="15.75">
      <c r="E72" s="2"/>
    </row>
    <row r="73" ht="15.75">
      <c r="E73" s="2"/>
    </row>
    <row r="74" ht="15.75">
      <c r="E74" s="2"/>
    </row>
    <row r="75" ht="15.75">
      <c r="E75" s="2"/>
    </row>
    <row r="76" ht="15.75">
      <c r="E76" s="2"/>
    </row>
    <row r="77" ht="15.75">
      <c r="E77" s="2"/>
    </row>
    <row r="78" ht="15.75">
      <c r="E78" s="2"/>
    </row>
    <row r="79" ht="15.75">
      <c r="E79" s="2"/>
    </row>
    <row r="80" ht="15.75">
      <c r="E80" s="2"/>
    </row>
    <row r="81" ht="15.75">
      <c r="E81" s="2"/>
    </row>
    <row r="82" ht="15.75">
      <c r="E82" s="2"/>
    </row>
    <row r="83" ht="15.75">
      <c r="E83" s="2"/>
    </row>
    <row r="84" ht="15.75">
      <c r="E84" s="2"/>
    </row>
    <row r="85" ht="15.75">
      <c r="E85" s="2"/>
    </row>
    <row r="86" ht="15.75">
      <c r="E86" s="2"/>
    </row>
    <row r="87" ht="15.75">
      <c r="E87" s="2"/>
    </row>
    <row r="88" ht="15.75">
      <c r="E88" s="2"/>
    </row>
    <row r="89" ht="15.75">
      <c r="E89" s="2"/>
    </row>
    <row r="90" ht="15.75">
      <c r="E90" s="2"/>
    </row>
    <row r="91" ht="15.75">
      <c r="E91" s="2"/>
    </row>
    <row r="92" ht="15.75">
      <c r="E92" s="2"/>
    </row>
    <row r="93" ht="15.75">
      <c r="E93" s="2"/>
    </row>
    <row r="94" ht="15.75">
      <c r="E94" s="2"/>
    </row>
    <row r="95" ht="15.75">
      <c r="E95" s="2"/>
    </row>
    <row r="96" ht="15.75">
      <c r="E96" s="2"/>
    </row>
    <row r="97" ht="15.75">
      <c r="E97" s="2"/>
    </row>
    <row r="98" ht="15.75">
      <c r="E98" s="2"/>
    </row>
    <row r="99" ht="15.75">
      <c r="E99" s="2"/>
    </row>
    <row r="100" ht="15.75">
      <c r="E100" s="2"/>
    </row>
    <row r="101" ht="15.75">
      <c r="E101" s="2"/>
    </row>
    <row r="102" ht="15.75">
      <c r="E102" s="2"/>
    </row>
    <row r="103" ht="15.75">
      <c r="E103" s="2"/>
    </row>
    <row r="104" ht="15.75">
      <c r="E104" s="2"/>
    </row>
    <row r="105" ht="15.75">
      <c r="E105" s="2"/>
    </row>
    <row r="106" ht="15.75">
      <c r="E106" s="2"/>
    </row>
    <row r="107" ht="15.75">
      <c r="E107" s="2"/>
    </row>
    <row r="108" ht="15.75">
      <c r="E108" s="2"/>
    </row>
    <row r="109" ht="15.75"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</sheetData>
  <printOptions gridLines="1"/>
  <pageMargins left="0.75" right="0.75" top="1" bottom="1" header="0.5" footer="0.5"/>
  <pageSetup horizontalDpi="96" verticalDpi="96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Daniel Pribnow</cp:lastModifiedBy>
  <dcterms:created xsi:type="dcterms:W3CDTF">1999-06-25T10:45:03Z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